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o-ks-02\Shara\Отчеты КЭО\Отчет 2024\"/>
    </mc:Choice>
  </mc:AlternateContent>
  <bookViews>
    <workbookView xWindow="16860" yWindow="-165" windowWidth="10170" windowHeight="5895" tabRatio="186"/>
  </bookViews>
  <sheets>
    <sheet name="2.1.8 2024" sheetId="1" r:id="rId1"/>
    <sheet name="Лист1" sheetId="3" r:id="rId2"/>
    <sheet name="Справка" sheetId="2" r:id="rId3"/>
  </sheets>
  <definedNames>
    <definedName name="_xlnm._FilterDatabase" localSheetId="0" hidden="1">'2.1.8 2024'!$A$3:$BT$164</definedName>
  </definedNames>
  <calcPr calcId="152511"/>
</workbook>
</file>

<file path=xl/calcChain.xml><?xml version="1.0" encoding="utf-8"?>
<calcChain xmlns="http://schemas.openxmlformats.org/spreadsheetml/2006/main">
  <c r="K49" i="3" l="1"/>
  <c r="I49" i="3"/>
  <c r="G49" i="3"/>
  <c r="C6" i="3"/>
  <c r="B6" i="3"/>
  <c r="A6" i="3"/>
  <c r="P52" i="1" l="1"/>
  <c r="P124" i="1"/>
  <c r="O59" i="1" l="1"/>
  <c r="P59" i="1"/>
  <c r="P13" i="1" l="1"/>
  <c r="N13" i="1"/>
  <c r="N157" i="1"/>
  <c r="S21" i="1"/>
  <c r="S4" i="1" s="1"/>
  <c r="P111" i="1" l="1"/>
  <c r="P25" i="1" l="1"/>
  <c r="N25" i="1"/>
  <c r="O25" i="1"/>
  <c r="N49" i="1"/>
  <c r="P155" i="1" l="1"/>
  <c r="N154" i="1"/>
  <c r="O152" i="1"/>
  <c r="N152" i="1"/>
  <c r="P149" i="1"/>
  <c r="N148" i="1"/>
  <c r="N145" i="1"/>
  <c r="N144" i="1"/>
  <c r="P143" i="1"/>
  <c r="N143" i="1"/>
  <c r="N142" i="1"/>
  <c r="N141" i="1"/>
  <c r="P141" i="1"/>
  <c r="P140" i="1" l="1"/>
  <c r="N139" i="1"/>
  <c r="N137" i="1"/>
  <c r="R136" i="1"/>
  <c r="N134" i="1"/>
  <c r="N132" i="1"/>
  <c r="N131" i="1"/>
  <c r="P129" i="1"/>
  <c r="N126" i="1"/>
  <c r="R125" i="1"/>
  <c r="P123" i="1"/>
  <c r="P122" i="1"/>
  <c r="N121" i="1"/>
  <c r="O121" i="1"/>
  <c r="P116" i="1"/>
  <c r="P115" i="1"/>
  <c r="N114" i="1"/>
  <c r="P113" i="1"/>
  <c r="P112" i="1"/>
  <c r="Q110" i="1"/>
  <c r="P110" i="1"/>
  <c r="N110" i="1"/>
  <c r="Q4" i="1" l="1"/>
  <c r="N107" i="1"/>
  <c r="O105" i="1"/>
  <c r="N105" i="1"/>
  <c r="N104" i="1"/>
  <c r="N101" i="1"/>
  <c r="R98" i="1"/>
  <c r="N19" i="1"/>
  <c r="N20" i="1"/>
  <c r="N96" i="1" l="1"/>
  <c r="O93" i="1"/>
  <c r="P91" i="1"/>
  <c r="N91" i="1"/>
  <c r="N85" i="1"/>
  <c r="O83" i="1"/>
  <c r="P82" i="1"/>
  <c r="O33" i="1"/>
  <c r="N33" i="1"/>
  <c r="O79" i="1"/>
  <c r="R79" i="1"/>
  <c r="N79" i="1"/>
  <c r="P78" i="1"/>
  <c r="N78" i="1"/>
  <c r="R77" i="1"/>
  <c r="N76" i="1"/>
  <c r="N68" i="1"/>
  <c r="N69" i="1"/>
  <c r="N38" i="1"/>
  <c r="N18" i="1"/>
  <c r="N12" i="1"/>
  <c r="N75" i="1" l="1"/>
  <c r="O74" i="1"/>
  <c r="P72" i="1"/>
  <c r="P71" i="1"/>
  <c r="N70" i="1"/>
  <c r="P66" i="1"/>
  <c r="O66" i="1"/>
  <c r="N66" i="1"/>
  <c r="P65" i="1"/>
  <c r="N63" i="1"/>
  <c r="P61" i="1"/>
  <c r="P60" i="1"/>
  <c r="P58" i="1"/>
  <c r="N58" i="1"/>
  <c r="P50" i="1"/>
  <c r="N14" i="1"/>
  <c r="P88" i="1" l="1"/>
  <c r="R90" i="1"/>
  <c r="R4" i="1" s="1"/>
  <c r="P9" i="1"/>
  <c r="N51" i="1" l="1"/>
  <c r="O48" i="1"/>
  <c r="O47" i="1"/>
  <c r="P6" i="1"/>
  <c r="P44" i="1" l="1"/>
  <c r="N42" i="1" l="1"/>
  <c r="N37" i="1"/>
  <c r="O36" i="1"/>
  <c r="N35" i="1"/>
  <c r="N4" i="1" s="1"/>
  <c r="P28" i="1" l="1"/>
  <c r="O11" i="1"/>
  <c r="P10" i="1"/>
  <c r="P26" i="1" l="1"/>
  <c r="O26" i="1"/>
  <c r="O4" i="1" s="1"/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5" i="1"/>
  <c r="P53" i="1"/>
  <c r="M53" i="1" s="1"/>
  <c r="M90" i="1" l="1"/>
  <c r="P108" i="1" l="1"/>
  <c r="M108" i="1" l="1"/>
  <c r="M4" i="1" s="1"/>
  <c r="P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U4" i="1"/>
  <c r="V4" i="1"/>
</calcChain>
</file>

<file path=xl/sharedStrings.xml><?xml version="1.0" encoding="utf-8"?>
<sst xmlns="http://schemas.openxmlformats.org/spreadsheetml/2006/main" count="1564" uniqueCount="362">
  <si>
    <t>ОПФ</t>
  </si>
  <si>
    <t>Состояние права</t>
  </si>
  <si>
    <t>ООО</t>
  </si>
  <si>
    <t>«ВЕГА»</t>
  </si>
  <si>
    <t>Действует</t>
  </si>
  <si>
    <t>фирма «БЛИК»</t>
  </si>
  <si>
    <t>«Промстрой»</t>
  </si>
  <si>
    <t>до 90 млн руб. (1 уровень ответственности члена СРО)</t>
  </si>
  <si>
    <t>«Абрис»</t>
  </si>
  <si>
    <t>«Электросила»</t>
  </si>
  <si>
    <t>«Стройтэк»</t>
  </si>
  <si>
    <t>«Краспромавтоматика»</t>
  </si>
  <si>
    <t>«МЕНТАЛ-ПЛЮС»</t>
  </si>
  <si>
    <t>«РеНал»</t>
  </si>
  <si>
    <t>СЗ «Альфа»</t>
  </si>
  <si>
    <t>«ССМР»</t>
  </si>
  <si>
    <t>«КСТС»</t>
  </si>
  <si>
    <t>«Сервис-Центр»</t>
  </si>
  <si>
    <t>«СТМ»</t>
  </si>
  <si>
    <t>СК «Галикон»</t>
  </si>
  <si>
    <t>ИСК «Омега»</t>
  </si>
  <si>
    <t>«ПКП «Алекс»</t>
  </si>
  <si>
    <t>«Руслан-Строй»</t>
  </si>
  <si>
    <t>«Строитель-6»</t>
  </si>
  <si>
    <t>ПКФ «Комплекс»</t>
  </si>
  <si>
    <t>ПФ «Орион»</t>
  </si>
  <si>
    <t>СК «Аркада 21»</t>
  </si>
  <si>
    <t>ПСК "Сибирь"</t>
  </si>
  <si>
    <t>ПКФ «Теплоучет»</t>
  </si>
  <si>
    <t>«ЭкоСтрой»</t>
  </si>
  <si>
    <t>фирма "Уровень"</t>
  </si>
  <si>
    <t>«АРКАДА»</t>
  </si>
  <si>
    <t>"ИК "РОСА"</t>
  </si>
  <si>
    <t>«Димона Связь»</t>
  </si>
  <si>
    <t>«Центр-строй»</t>
  </si>
  <si>
    <t>«ФОН»</t>
  </si>
  <si>
    <t>«Соврудник»</t>
  </si>
  <si>
    <t>«Крипта К»</t>
  </si>
  <si>
    <t>ПКФ "Флик"</t>
  </si>
  <si>
    <t>«Универсал»</t>
  </si>
  <si>
    <t>«ХРСУ»</t>
  </si>
  <si>
    <t>«СДС Электро Сервис»</t>
  </si>
  <si>
    <t>«Альпсервис»</t>
  </si>
  <si>
    <t>«СКБ»</t>
  </si>
  <si>
    <t>«ЭКРА-Сибирь»</t>
  </si>
  <si>
    <t>«ССК»</t>
  </si>
  <si>
    <t>«СТРОЙСЕРВИС-2000»</t>
  </si>
  <si>
    <t>«Эско Восток КрК»</t>
  </si>
  <si>
    <t>СК «ТСТ»</t>
  </si>
  <si>
    <t>«Гранит»</t>
  </si>
  <si>
    <t>«Востокстройизыскания»</t>
  </si>
  <si>
    <t>«Теплострой»</t>
  </si>
  <si>
    <t>МКУ</t>
  </si>
  <si>
    <t>«АПГ»</t>
  </si>
  <si>
    <t>социальной политики Красноярского края</t>
  </si>
  <si>
    <t>«Автоспецтехника»</t>
  </si>
  <si>
    <t>«СОЮЗ»</t>
  </si>
  <si>
    <t>АО</t>
  </si>
  <si>
    <t>«Кызылская ТЭЦ»</t>
  </si>
  <si>
    <t>«СибСтрой»</t>
  </si>
  <si>
    <t>«РЕШЕТНЁВ»</t>
  </si>
  <si>
    <t>«Кратэр»</t>
  </si>
  <si>
    <t>«Газпром морские проекты»</t>
  </si>
  <si>
    <t>«СДК»</t>
  </si>
  <si>
    <t>«КрайДЭО»</t>
  </si>
  <si>
    <t>«СТЭМ»</t>
  </si>
  <si>
    <t>«БЕТА»</t>
  </si>
  <si>
    <t>«ОМИКРОН»</t>
  </si>
  <si>
    <t>«ГК «Сибирьэнергоинжиниринг»</t>
  </si>
  <si>
    <t>«МЭС»</t>
  </si>
  <si>
    <t>«ЦИА»</t>
  </si>
  <si>
    <t>«ПРОММОНТАЖ»</t>
  </si>
  <si>
    <t>«Кратэк»</t>
  </si>
  <si>
    <t>«Промышленная Автоматизация»</t>
  </si>
  <si>
    <t>«ЗСК»</t>
  </si>
  <si>
    <t>«АРКО»</t>
  </si>
  <si>
    <t>"СоюзЛифтМонтаж"</t>
  </si>
  <si>
    <t>ПАО</t>
  </si>
  <si>
    <t>«ГМК «Норильский никель»</t>
  </si>
  <si>
    <t>«НЭТО»</t>
  </si>
  <si>
    <t>«Восточная Сибирь»</t>
  </si>
  <si>
    <t>«Лифтмонтаж»</t>
  </si>
  <si>
    <t>«Норильскникельремонт»</t>
  </si>
  <si>
    <t>«СВК»</t>
  </si>
  <si>
    <t>СМП "СОЮЗ"</t>
  </si>
  <si>
    <t>«СтройГарант»</t>
  </si>
  <si>
    <t>«ТП «ГЭМ»</t>
  </si>
  <si>
    <t>«БоАЗ»</t>
  </si>
  <si>
    <t>«СВР»</t>
  </si>
  <si>
    <t>«Спринг»</t>
  </si>
  <si>
    <t>«Монтехком»</t>
  </si>
  <si>
    <t>«КраМЗ»</t>
  </si>
  <si>
    <t>«Сибирский строитель»</t>
  </si>
  <si>
    <t>УСК «Опора»</t>
  </si>
  <si>
    <t>«Лифтремонт»</t>
  </si>
  <si>
    <t>«Норильсктрансгаз»</t>
  </si>
  <si>
    <t>«Телеком ГХК»</t>
  </si>
  <si>
    <t>«Богучанская ГЭС»</t>
  </si>
  <si>
    <t>«Новоангарский обогатительный комбинат»</t>
  </si>
  <si>
    <t>«АСК»</t>
  </si>
  <si>
    <t>ФГБНУ</t>
  </si>
  <si>
    <t>"ФИЦ КНЦ СО РАН, КНЦ СО РАН"</t>
  </si>
  <si>
    <t>СК «Опора»</t>
  </si>
  <si>
    <t>«СПС»</t>
  </si>
  <si>
    <t>ИП</t>
  </si>
  <si>
    <t>Жмулевский Д.А.</t>
  </si>
  <si>
    <t>«СК Витраж»</t>
  </si>
  <si>
    <t>"ССК "СибМост"</t>
  </si>
  <si>
    <t>«СтройСервис»</t>
  </si>
  <si>
    <t>«ПСМК»</t>
  </si>
  <si>
    <t>«ПСК»</t>
  </si>
  <si>
    <t>«СибЖДРемСтрой»</t>
  </si>
  <si>
    <t>Петухов Вадим Егорович</t>
  </si>
  <si>
    <t>"АльянсСтройПроект"</t>
  </si>
  <si>
    <t>«Капитальный ремонт»</t>
  </si>
  <si>
    <t>«Горельеф»</t>
  </si>
  <si>
    <t>«СУЭК-Красноярск»</t>
  </si>
  <si>
    <t>«Спектр»</t>
  </si>
  <si>
    <t>«ТЕРМИТ»</t>
  </si>
  <si>
    <t>«КЦС»</t>
  </si>
  <si>
    <t>«ИнноТех Инжиниринг»</t>
  </si>
  <si>
    <t>Петров Константин Владимирович</t>
  </si>
  <si>
    <t>«Собитек»</t>
  </si>
  <si>
    <t>«ВКС»</t>
  </si>
  <si>
    <t>КГКУ</t>
  </si>
  <si>
    <t>«ТАЙМЫРПРОМСТРОЙ»</t>
  </si>
  <si>
    <t>«Строй-Енисей»</t>
  </si>
  <si>
    <t>«ГЕРМАНИЙ»</t>
  </si>
  <si>
    <t>«СК Оникс»</t>
  </si>
  <si>
    <t>«РУБИН»</t>
  </si>
  <si>
    <t>«ЗЕВС»</t>
  </si>
  <si>
    <t>«УРТСЖиМС»</t>
  </si>
  <si>
    <t>«Готика-Строй»</t>
  </si>
  <si>
    <t>«СК «СибМостПроект»</t>
  </si>
  <si>
    <t>ЗАО</t>
  </si>
  <si>
    <t>«Назаровское»</t>
  </si>
  <si>
    <t>«СЗ «ОАЗИС»</t>
  </si>
  <si>
    <t>«Строймеханизация»</t>
  </si>
  <si>
    <t>«ПРОМИНЖИНИРИНГ»</t>
  </si>
  <si>
    <t>«ИнТЕГ»</t>
  </si>
  <si>
    <t>«Кровельный мир»</t>
  </si>
  <si>
    <t>«ИНТЕГРА»</t>
  </si>
  <si>
    <t>«ЭквитиПлюс»</t>
  </si>
  <si>
    <t>«Альянс-Строй»</t>
  </si>
  <si>
    <t>СК «Перспектива»</t>
  </si>
  <si>
    <t>«АлгоритмКонсалт»</t>
  </si>
  <si>
    <t>«ЕСК СУЭК»</t>
  </si>
  <si>
    <t>«ЭнергоСпецСтрой»</t>
  </si>
  <si>
    <t>УСК «Альфа»</t>
  </si>
  <si>
    <t>«АЛЬПСТРОЙ»</t>
  </si>
  <si>
    <t>«СКС»</t>
  </si>
  <si>
    <t>«Союз-Инжиниринг»</t>
  </si>
  <si>
    <t>"СК СТМ"</t>
  </si>
  <si>
    <t>«ДАРТ-СТРОЙ»</t>
  </si>
  <si>
    <t>«БТС-Красноярск»</t>
  </si>
  <si>
    <t>«СМУ-24»</t>
  </si>
  <si>
    <t>Вид работ (см. вкладку "Справка")</t>
  </si>
  <si>
    <t>Функционал при СРКрС (см. вкладку"Справка")</t>
  </si>
  <si>
    <t>Тип объекта СРКрС (см. вкладку "Справка")</t>
  </si>
  <si>
    <t>Номер в реестре членов СА "КС"</t>
  </si>
  <si>
    <t>Наименвание члена СРО</t>
  </si>
  <si>
    <t>Уровень по КФВВ</t>
  </si>
  <si>
    <t>Взнос в КФВВ</t>
  </si>
  <si>
    <t>Уровень
по КФОДО</t>
  </si>
  <si>
    <t>Взнос в КФОДО</t>
  </si>
  <si>
    <t>Право на ОКС</t>
  </si>
  <si>
    <t>Право на ООТСиУ</t>
  </si>
  <si>
    <t>Право на ОИАЭ</t>
  </si>
  <si>
    <t>Наличие права на закупки</t>
  </si>
  <si>
    <t>Итого по ф.2.1.8 (и.руб)</t>
  </si>
  <si>
    <t>Строительство</t>
  </si>
  <si>
    <t>Реконструкция</t>
  </si>
  <si>
    <t>Капремонт</t>
  </si>
  <si>
    <t>Снос</t>
  </si>
  <si>
    <t>ТЗ</t>
  </si>
  <si>
    <t>текущий ремонт</t>
  </si>
  <si>
    <t>Регион деятельности (см. вкладку "Справка")</t>
  </si>
  <si>
    <t>1- подготовительные</t>
  </si>
  <si>
    <t>2- земляные</t>
  </si>
  <si>
    <t>3- инж.подготовка тер-и</t>
  </si>
  <si>
    <t>4- инж.защита тер-и</t>
  </si>
  <si>
    <t>5- свайные</t>
  </si>
  <si>
    <t>6- фундаменты и основания</t>
  </si>
  <si>
    <t>7- возведение несущих конструкций</t>
  </si>
  <si>
    <t>8- возв-е наружных ограждающих констр-й</t>
  </si>
  <si>
    <t>9- устройство кровли</t>
  </si>
  <si>
    <t>10- фасадные р-ты</t>
  </si>
  <si>
    <t>11- внутренние отделочные р-ты</t>
  </si>
  <si>
    <t>12- устр-во внутр. сан-тех систем</t>
  </si>
  <si>
    <t>13- уст-во внутр.электротех.систем</t>
  </si>
  <si>
    <t>14- устр-во внут.трубопровод.сис-м</t>
  </si>
  <si>
    <t>15- устр-во внутр.слаботоч.сис-м</t>
  </si>
  <si>
    <t>16- установка подъёма-трансп.обор-я</t>
  </si>
  <si>
    <t>17- монтаж технолог.оборуд-я</t>
  </si>
  <si>
    <t>18- пусконаладочные р-ты</t>
  </si>
  <si>
    <t>19- устр-во наруж.эл.сетей и линий связи</t>
  </si>
  <si>
    <t>20- устр-во наруж.сетей канал-ции</t>
  </si>
  <si>
    <t>21- устр-во наруж.сетей водоснаб-я</t>
  </si>
  <si>
    <t>22- устр-во наруж.сетей теплоснаб-я</t>
  </si>
  <si>
    <t>23- устр-во наруж.сетей гзоснаб-я</t>
  </si>
  <si>
    <t>24- устр-во дорожной одежды автодорог</t>
  </si>
  <si>
    <t>25- обустройчство автодорог</t>
  </si>
  <si>
    <t>26- устр-во верхнего строения ж/д пути</t>
  </si>
  <si>
    <t>27- устр-во трубопроводов</t>
  </si>
  <si>
    <t>28- устр-во переходов сетей и трубопроводов ч/з препят-я</t>
  </si>
  <si>
    <t>29- устр-во туннелей</t>
  </si>
  <si>
    <t>30- устр-во штолен</t>
  </si>
  <si>
    <t>31- устр-во искусст.сооружений</t>
  </si>
  <si>
    <t>32- дноуглубительные и водолазные работы</t>
  </si>
  <si>
    <t>33- гидротехнические р-ты</t>
  </si>
  <si>
    <t>34- благоустройство</t>
  </si>
  <si>
    <t>35- снос</t>
  </si>
  <si>
    <t>техзаказчик</t>
  </si>
  <si>
    <t>1 - застройщик</t>
  </si>
  <si>
    <t>2 - тех.заказчик</t>
  </si>
  <si>
    <t>3 - генподрядчик</t>
  </si>
  <si>
    <t>4 - субподрядчик</t>
  </si>
  <si>
    <t>5 - снос/ демонтаж</t>
  </si>
  <si>
    <t>6 - текущий ремонт</t>
  </si>
  <si>
    <t>7 - иное</t>
  </si>
  <si>
    <t>1 - жильё</t>
  </si>
  <si>
    <t>2 - социальные</t>
  </si>
  <si>
    <t>3 - коммунальные</t>
  </si>
  <si>
    <t>4 - эл.энергетика</t>
  </si>
  <si>
    <t>5 - автодороги, мосты, аэродромы</t>
  </si>
  <si>
    <t>6 - прочие линейные</t>
  </si>
  <si>
    <t>7 - прочие промышленные</t>
  </si>
  <si>
    <t>8 - коммерческие</t>
  </si>
  <si>
    <t>9 - иное</t>
  </si>
  <si>
    <t>Итоговая строка</t>
  </si>
  <si>
    <t>«ТПС»</t>
  </si>
  <si>
    <t>«СМК»</t>
  </si>
  <si>
    <t>«СПГ «Ермак»</t>
  </si>
  <si>
    <t>«СЗ «ССК»</t>
  </si>
  <si>
    <t>Министерство</t>
  </si>
  <si>
    <t>«НПП ПА-Красноярск»</t>
  </si>
  <si>
    <t>«Строй услуги»</t>
  </si>
  <si>
    <t>«РЕСУРСЦЕНТР МИНИСТЕРСТВА КУЛЬТУРЫ КРАЯ»</t>
  </si>
  <si>
    <t>«Строительные системы»</t>
  </si>
  <si>
    <t>Глава КФХ Тихоненко М.В.</t>
  </si>
  <si>
    <t>«СЗ «ДС»</t>
  </si>
  <si>
    <t>«ССР»</t>
  </si>
  <si>
    <t>«АЛЬТАИР ПЛЮС 2001»</t>
  </si>
  <si>
    <t>«ТБС»</t>
  </si>
  <si>
    <t>«КЛЗ»</t>
  </si>
  <si>
    <t>Сведения о членах СА "КС" по отчёт форме 2.1.8 за 2024 год</t>
  </si>
  <si>
    <t>Снос объектов капитального строительства или отдельных его частей.</t>
  </si>
  <si>
    <t>Благоустройство</t>
  </si>
  <si>
    <t>Гидротехнические работы</t>
  </si>
  <si>
    <t>Дноуглубительные и водолазные работы</t>
  </si>
  <si>
    <t>Устройство искусственных сооружений</t>
  </si>
  <si>
    <t>Устройство штолен</t>
  </si>
  <si>
    <t>Устройство туннелей</t>
  </si>
  <si>
    <t>Устройство переходов сетей и трубопроводов через естественные и искусственные препятствия</t>
  </si>
  <si>
    <t>Устройство трубопроводов</t>
  </si>
  <si>
    <t>Устройство верхнего строения железнодорожного пути</t>
  </si>
  <si>
    <t>Работы по обустройству автомобильной дороги</t>
  </si>
  <si>
    <t>Устройство дорожной одежды автомобильных дорог</t>
  </si>
  <si>
    <t>Иное</t>
  </si>
  <si>
    <t>Устройство наружных сетей газоснабжения</t>
  </si>
  <si>
    <t>Коммерческая недвижимость</t>
  </si>
  <si>
    <t>Ямало-Ненецкий автономный округ</t>
  </si>
  <si>
    <t>ЯНАО</t>
  </si>
  <si>
    <t>Устройство наружных сетей теплоснабжения</t>
  </si>
  <si>
    <t>Иные промышленные объекты</t>
  </si>
  <si>
    <t>Читинская область</t>
  </si>
  <si>
    <t>ЧО</t>
  </si>
  <si>
    <t>Устройство наружных сетей водоснабжения</t>
  </si>
  <si>
    <t>Иные линейные объекты</t>
  </si>
  <si>
    <t>Хабаровский край</t>
  </si>
  <si>
    <t>ХК</t>
  </si>
  <si>
    <t>Устройство наружных сетей канализации</t>
  </si>
  <si>
    <t>Автодороги, мосты, аэродромы</t>
  </si>
  <si>
    <t>Томская область</t>
  </si>
  <si>
    <t>ТО</t>
  </si>
  <si>
    <t>Устройство наружных электрических сетей и линий связи</t>
  </si>
  <si>
    <t>Объекты электроэнергетики</t>
  </si>
  <si>
    <t>Сибирский федеральный округ (10 регионов)</t>
  </si>
  <si>
    <t>СФО</t>
  </si>
  <si>
    <t>Пусконаладочные работы</t>
  </si>
  <si>
    <t>Объекты коммунального хозяйства</t>
  </si>
  <si>
    <t>Сахалинская область</t>
  </si>
  <si>
    <t>СахО</t>
  </si>
  <si>
    <t>Монтаж технологического оборудования</t>
  </si>
  <si>
    <t>Объекты социальные (культуры, спорта, здравохранения, образования, науки) органов власти и муниципальных органов</t>
  </si>
  <si>
    <t>Самарская область</t>
  </si>
  <si>
    <t>СамарО</t>
  </si>
  <si>
    <t>Установка подъемно-транспортного оборудования</t>
  </si>
  <si>
    <t>Жилые дома</t>
  </si>
  <si>
    <t>Ставропольский край</t>
  </si>
  <si>
    <t>СтК</t>
  </si>
  <si>
    <t>Устройство внутренних слаботочных систем</t>
  </si>
  <si>
    <t>Республика Хакасия</t>
  </si>
  <si>
    <t>РХ</t>
  </si>
  <si>
    <t>Устройство внутренних трубопроводных систем</t>
  </si>
  <si>
    <t>Тип объекта, на котором осущетвляется СРКрС</t>
  </si>
  <si>
    <t>Код</t>
  </si>
  <si>
    <t>Республика Тыва</t>
  </si>
  <si>
    <t>РТ</t>
  </si>
  <si>
    <t>Устройство внутренних электротехнических систем</t>
  </si>
  <si>
    <t>Республика Саха</t>
  </si>
  <si>
    <t>РС</t>
  </si>
  <si>
    <t>Устройство внутренних санитарно-технических систем</t>
  </si>
  <si>
    <t>Республика Бурятия</t>
  </si>
  <si>
    <t>РБ</t>
  </si>
  <si>
    <t>Внутренние отделочные работы</t>
  </si>
  <si>
    <t>Республика Башкортостан</t>
  </si>
  <si>
    <t>РБаш</t>
  </si>
  <si>
    <t>Фасадные работы</t>
  </si>
  <si>
    <t>Приморский край</t>
  </si>
  <si>
    <t>ПК</t>
  </si>
  <si>
    <t>Устройство кровли</t>
  </si>
  <si>
    <t>Красноярский край</t>
  </si>
  <si>
    <t>КК</t>
  </si>
  <si>
    <t>Возведение наружных ограждающих конструкций</t>
  </si>
  <si>
    <t>Кемеровская область</t>
  </si>
  <si>
    <t>КО</t>
  </si>
  <si>
    <t>Возведение несущих конструкций</t>
  </si>
  <si>
    <t>Текущий ремонт</t>
  </si>
  <si>
    <t>Камчатский край</t>
  </si>
  <si>
    <t>КамК</t>
  </si>
  <si>
    <t>Устройство фундаментов и оснований</t>
  </si>
  <si>
    <t>Снос объектов или их частей</t>
  </si>
  <si>
    <t>Иркутская область</t>
  </si>
  <si>
    <t>ИО</t>
  </si>
  <si>
    <t>Свайные работы</t>
  </si>
  <si>
    <t>Субподряд на СМР</t>
  </si>
  <si>
    <t>Забайкальский край</t>
  </si>
  <si>
    <t>ЗК</t>
  </si>
  <si>
    <t>Инженерная защита территории</t>
  </si>
  <si>
    <t>Генеральный подряд (заключение договора с заказчиком/застройщиком на СРКрС, с субподрядчиками)</t>
  </si>
  <si>
    <t>Вологодская область</t>
  </si>
  <si>
    <t>ВологО</t>
  </si>
  <si>
    <t>Инженерная подготовка территории</t>
  </si>
  <si>
    <t>Технический заказчик</t>
  </si>
  <si>
    <t>Амурская область</t>
  </si>
  <si>
    <t>АмО</t>
  </si>
  <si>
    <t>Земляные работы</t>
  </si>
  <si>
    <t>Застройщик, самостоятельно осуществляющий СРКрС</t>
  </si>
  <si>
    <t>Алтайский край</t>
  </si>
  <si>
    <t>АК</t>
  </si>
  <si>
    <t>Подготовительные работы</t>
  </si>
  <si>
    <t>Функционал при СРКрС</t>
  </si>
  <si>
    <t>Название региона</t>
  </si>
  <si>
    <t xml:space="preserve">Сокращение
(графа 21)
</t>
  </si>
  <si>
    <t>№ пп</t>
  </si>
  <si>
    <t>Вид работ</t>
  </si>
  <si>
    <t>Код
(гр. 21-55)</t>
  </si>
  <si>
    <t>Х</t>
  </si>
  <si>
    <t>НПО «Пульсар»</t>
  </si>
  <si>
    <t xml:space="preserve">               </t>
  </si>
  <si>
    <t>1,5,8</t>
  </si>
  <si>
    <t xml:space="preserve">МКУ </t>
  </si>
  <si>
    <t xml:space="preserve"> </t>
  </si>
  <si>
    <t>до 500 млн руб. (2 уровень ответственности члена СРО)</t>
  </si>
  <si>
    <t>до 3 млрд руб. (3 уровень ответственности члена СРО)</t>
  </si>
  <si>
    <t xml:space="preserve">Да </t>
  </si>
  <si>
    <t xml:space="preserve">Нет </t>
  </si>
  <si>
    <t>до 10 млрд руб. (4 уровень ответственности члена СРО)</t>
  </si>
  <si>
    <t>Приостановлено</t>
  </si>
  <si>
    <t>свыше 10 млрд руб. (5 уровень ответственности члена СРО)</t>
  </si>
  <si>
    <t>Добровольный выход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</si>
</sst>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12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57">
    <xf numFmtId="0" fontId="0" fillId="0" borderId="0" xfId="0"/>
    <xf numFmtId="0" fontId="1" fillId="0" borderId="0" xfId="0" applyNumberFormat="1" applyFont="1" applyFill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164" fontId="2" fillId="0" borderId="12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" fontId="5" fillId="2" borderId="13" xfId="0" applyNumberFormat="1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6" fillId="0" borderId="0" xfId="0" applyFont="1"/>
    <xf numFmtId="0" fontId="4" fillId="0" borderId="13" xfId="0" applyFont="1" applyBorder="1"/>
    <xf numFmtId="0" fontId="4" fillId="0" borderId="0" xfId="0" applyFont="1"/>
    <xf numFmtId="0" fontId="6" fillId="0" borderId="0" xfId="0" applyFont="1" applyAlignment="1">
      <alignment horizontal="left"/>
    </xf>
    <xf numFmtId="0" fontId="5" fillId="3" borderId="13" xfId="0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center" textRotation="90" wrapText="1"/>
    </xf>
    <xf numFmtId="1" fontId="5" fillId="3" borderId="13" xfId="0" applyNumberFormat="1" applyFont="1" applyFill="1" applyBorder="1" applyAlignment="1">
      <alignment vertical="top" wrapText="1"/>
    </xf>
    <xf numFmtId="0" fontId="4" fillId="3" borderId="13" xfId="0" applyFont="1" applyFill="1" applyBorder="1"/>
    <xf numFmtId="0" fontId="4" fillId="3" borderId="0" xfId="0" applyFont="1" applyFill="1"/>
    <xf numFmtId="2" fontId="4" fillId="3" borderId="13" xfId="0" applyNumberFormat="1" applyFont="1" applyFill="1" applyBorder="1"/>
    <xf numFmtId="0" fontId="4" fillId="0" borderId="0" xfId="1" applyFont="1" applyAlignment="1">
      <alignment horizontal="left" vertical="top" wrapText="1"/>
    </xf>
    <xf numFmtId="0" fontId="4" fillId="8" borderId="10" xfId="1" applyFont="1" applyFill="1" applyBorder="1" applyAlignment="1">
      <alignment horizontal="left" vertical="top" wrapText="1"/>
    </xf>
    <xf numFmtId="0" fontId="4" fillId="8" borderId="8" xfId="1" applyFont="1" applyFill="1" applyBorder="1" applyAlignment="1">
      <alignment horizontal="left" vertical="top" wrapText="1"/>
    </xf>
    <xf numFmtId="0" fontId="4" fillId="8" borderId="15" xfId="1" applyFont="1" applyFill="1" applyBorder="1" applyAlignment="1">
      <alignment horizontal="left" vertical="top" wrapText="1"/>
    </xf>
    <xf numFmtId="0" fontId="4" fillId="8" borderId="16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vertical="top"/>
    </xf>
    <xf numFmtId="0" fontId="4" fillId="9" borderId="10" xfId="1" applyFont="1" applyFill="1" applyBorder="1" applyAlignment="1">
      <alignment horizontal="left" vertical="top" wrapText="1"/>
    </xf>
    <xf numFmtId="0" fontId="4" fillId="9" borderId="8" xfId="1" applyFont="1" applyFill="1" applyBorder="1" applyAlignment="1">
      <alignment horizontal="left" vertical="top" wrapText="1"/>
    </xf>
    <xf numFmtId="0" fontId="4" fillId="9" borderId="15" xfId="1" applyFont="1" applyFill="1" applyBorder="1" applyAlignment="1">
      <alignment horizontal="left" vertical="top" wrapText="1"/>
    </xf>
    <xf numFmtId="0" fontId="4" fillId="9" borderId="16" xfId="1" applyFont="1" applyFill="1" applyBorder="1" applyAlignment="1">
      <alignment horizontal="left" vertical="top" wrapText="1"/>
    </xf>
    <xf numFmtId="0" fontId="4" fillId="9" borderId="15" xfId="1" applyFont="1" applyFill="1" applyBorder="1" applyAlignment="1">
      <alignment vertical="top"/>
    </xf>
    <xf numFmtId="0" fontId="4" fillId="0" borderId="10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9" borderId="15" xfId="1" applyFont="1" applyFill="1" applyBorder="1" applyAlignment="1">
      <alignment vertical="top" wrapText="1"/>
    </xf>
    <xf numFmtId="0" fontId="4" fillId="9" borderId="17" xfId="1" applyFont="1" applyFill="1" applyBorder="1" applyAlignment="1">
      <alignment horizontal="left" vertical="top" wrapText="1"/>
    </xf>
    <xf numFmtId="0" fontId="4" fillId="9" borderId="18" xfId="1" applyFont="1" applyFill="1" applyBorder="1" applyAlignment="1">
      <alignment horizontal="left" vertical="top" wrapText="1"/>
    </xf>
    <xf numFmtId="0" fontId="4" fillId="9" borderId="19" xfId="1" applyFont="1" applyFill="1" applyBorder="1" applyAlignment="1">
      <alignment horizontal="left" vertical="top" wrapText="1"/>
    </xf>
    <xf numFmtId="0" fontId="4" fillId="10" borderId="10" xfId="1" applyFont="1" applyFill="1" applyBorder="1" applyAlignment="1">
      <alignment horizontal="left" vertical="top" wrapText="1"/>
    </xf>
    <xf numFmtId="0" fontId="4" fillId="10" borderId="8" xfId="1" applyFont="1" applyFill="1" applyBorder="1" applyAlignment="1">
      <alignment horizontal="left" vertical="top" wrapText="1"/>
    </xf>
    <xf numFmtId="0" fontId="4" fillId="10" borderId="15" xfId="1" applyFont="1" applyFill="1" applyBorder="1" applyAlignment="1">
      <alignment horizontal="left" vertical="top" wrapText="1"/>
    </xf>
    <xf numFmtId="0" fontId="4" fillId="10" borderId="16" xfId="1" applyFont="1" applyFill="1" applyBorder="1" applyAlignment="1">
      <alignment horizontal="left" vertical="top" wrapText="1"/>
    </xf>
    <xf numFmtId="0" fontId="4" fillId="10" borderId="0" xfId="1" applyFont="1" applyFill="1" applyAlignment="1">
      <alignment horizontal="left" vertical="top" wrapText="1"/>
    </xf>
    <xf numFmtId="0" fontId="4" fillId="10" borderId="15" xfId="1" applyFont="1" applyFill="1" applyBorder="1" applyAlignment="1">
      <alignment vertical="top" wrapText="1"/>
    </xf>
    <xf numFmtId="0" fontId="4" fillId="10" borderId="18" xfId="1" applyFont="1" applyFill="1" applyBorder="1" applyAlignment="1">
      <alignment horizontal="left" vertical="top" wrapText="1"/>
    </xf>
    <xf numFmtId="0" fontId="4" fillId="10" borderId="19" xfId="1" applyFont="1" applyFill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8" borderId="18" xfId="1" applyFont="1" applyFill="1" applyBorder="1" applyAlignment="1">
      <alignment horizontal="left" vertical="top" wrapText="1"/>
    </xf>
    <xf numFmtId="0" fontId="4" fillId="8" borderId="19" xfId="1" applyFont="1" applyFill="1" applyBorder="1" applyAlignment="1">
      <alignment horizontal="left" vertical="top" wrapText="1"/>
    </xf>
    <xf numFmtId="164" fontId="1" fillId="0" borderId="11" xfId="0" applyNumberFormat="1" applyFont="1" applyFill="1" applyBorder="1" applyAlignment="1">
      <alignment horizontal="center" vertical="center" textRotation="90" wrapText="1"/>
    </xf>
    <xf numFmtId="164" fontId="1" fillId="0" borderId="11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Fill="1" applyBorder="1" applyAlignment="1">
      <alignment horizontal="center" vertical="top" wrapText="1"/>
    </xf>
    <xf numFmtId="1" fontId="4" fillId="0" borderId="23" xfId="0" applyNumberFormat="1" applyFont="1" applyBorder="1"/>
    <xf numFmtId="1" fontId="4" fillId="3" borderId="23" xfId="0" applyNumberFormat="1" applyFont="1" applyFill="1" applyBorder="1"/>
    <xf numFmtId="164" fontId="1" fillId="4" borderId="5" xfId="0" applyNumberFormat="1" applyFont="1" applyFill="1" applyBorder="1" applyAlignment="1">
      <alignment horizontal="center" vertical="center" textRotation="90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2" fillId="0" borderId="24" xfId="0" applyNumberFormat="1" applyFont="1" applyFill="1" applyBorder="1" applyAlignment="1">
      <alignment horizontal="center" vertical="top" wrapText="1"/>
    </xf>
    <xf numFmtId="164" fontId="2" fillId="0" borderId="25" xfId="0" applyNumberFormat="1" applyFont="1" applyFill="1" applyBorder="1" applyAlignment="1">
      <alignment horizontal="center" vertical="top" wrapText="1"/>
    </xf>
    <xf numFmtId="0" fontId="4" fillId="0" borderId="16" xfId="0" applyFont="1" applyBorder="1"/>
    <xf numFmtId="0" fontId="4" fillId="0" borderId="15" xfId="0" applyFont="1" applyBorder="1"/>
    <xf numFmtId="0" fontId="4" fillId="3" borderId="16" xfId="0" applyFont="1" applyFill="1" applyBorder="1"/>
    <xf numFmtId="0" fontId="4" fillId="3" borderId="15" xfId="0" applyFont="1" applyFill="1" applyBorder="1"/>
    <xf numFmtId="0" fontId="1" fillId="5" borderId="5" xfId="0" applyNumberFormat="1" applyFont="1" applyFill="1" applyBorder="1" applyAlignment="1">
      <alignment horizontal="center" vertical="center" textRotation="90" wrapText="1"/>
    </xf>
    <xf numFmtId="0" fontId="1" fillId="5" borderId="6" xfId="0" applyNumberFormat="1" applyFont="1" applyFill="1" applyBorder="1" applyAlignment="1">
      <alignment horizontal="center" vertical="center" textRotation="90" wrapText="1"/>
    </xf>
    <xf numFmtId="0" fontId="1" fillId="7" borderId="5" xfId="0" applyNumberFormat="1" applyFont="1" applyFill="1" applyBorder="1" applyAlignment="1">
      <alignment horizontal="center" vertical="center" textRotation="90" wrapText="1"/>
    </xf>
    <xf numFmtId="0" fontId="1" fillId="7" borderId="6" xfId="0" applyNumberFormat="1" applyFont="1" applyFill="1" applyBorder="1" applyAlignment="1">
      <alignment horizontal="center" vertical="center" textRotation="90" wrapText="1"/>
    </xf>
    <xf numFmtId="0" fontId="1" fillId="5" borderId="11" xfId="0" applyNumberFormat="1" applyFont="1" applyFill="1" applyBorder="1" applyAlignment="1">
      <alignment horizontal="center" vertical="center" textRotation="90" wrapText="1"/>
    </xf>
    <xf numFmtId="0" fontId="1" fillId="0" borderId="28" xfId="0" applyNumberFormat="1" applyFont="1" applyFill="1" applyBorder="1" applyAlignment="1">
      <alignment horizontal="center" vertical="top" wrapText="1"/>
    </xf>
    <xf numFmtId="0" fontId="1" fillId="0" borderId="29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7" borderId="11" xfId="0" applyNumberFormat="1" applyFont="1" applyFill="1" applyBorder="1" applyAlignment="1">
      <alignment horizontal="center" vertical="center" textRotation="90" wrapText="1"/>
    </xf>
    <xf numFmtId="0" fontId="1" fillId="0" borderId="30" xfId="0" applyNumberFormat="1" applyFont="1" applyFill="1" applyBorder="1" applyAlignment="1">
      <alignment horizontal="center" vertical="top" wrapText="1"/>
    </xf>
    <xf numFmtId="0" fontId="4" fillId="0" borderId="23" xfId="0" applyFont="1" applyBorder="1"/>
    <xf numFmtId="0" fontId="4" fillId="3" borderId="23" xfId="0" applyFont="1" applyFill="1" applyBorder="1"/>
    <xf numFmtId="0" fontId="1" fillId="7" borderId="27" xfId="0" applyNumberFormat="1" applyFont="1" applyFill="1" applyBorder="1" applyAlignment="1">
      <alignment horizontal="center" vertical="center" textRotation="90" wrapText="1"/>
    </xf>
    <xf numFmtId="0" fontId="1" fillId="0" borderId="13" xfId="0" applyNumberFormat="1" applyFont="1" applyFill="1" applyBorder="1" applyAlignment="1">
      <alignment horizontal="center" vertical="top" wrapText="1"/>
    </xf>
    <xf numFmtId="164" fontId="2" fillId="0" borderId="13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6" fillId="0" borderId="0" xfId="0" applyFont="1" applyBorder="1"/>
    <xf numFmtId="0" fontId="1" fillId="7" borderId="20" xfId="0" applyNumberFormat="1" applyFont="1" applyFill="1" applyBorder="1" applyAlignment="1">
      <alignment horizontal="center" vertical="center" textRotation="90" wrapText="1"/>
    </xf>
    <xf numFmtId="164" fontId="2" fillId="0" borderId="32" xfId="0" applyNumberFormat="1" applyFont="1" applyFill="1" applyBorder="1" applyAlignment="1">
      <alignment horizontal="center" vertical="top" wrapText="1"/>
    </xf>
    <xf numFmtId="0" fontId="4" fillId="0" borderId="33" xfId="0" applyFont="1" applyBorder="1"/>
    <xf numFmtId="0" fontId="4" fillId="3" borderId="33" xfId="0" applyFont="1" applyFill="1" applyBorder="1"/>
    <xf numFmtId="0" fontId="1" fillId="6" borderId="5" xfId="0" applyNumberFormat="1" applyFont="1" applyFill="1" applyBorder="1" applyAlignment="1">
      <alignment horizontal="center" vertical="center" textRotation="90" wrapText="1"/>
    </xf>
    <xf numFmtId="0" fontId="1" fillId="6" borderId="6" xfId="0" applyNumberFormat="1" applyFont="1" applyFill="1" applyBorder="1" applyAlignment="1">
      <alignment horizontal="center" vertical="center" textRotation="90" wrapText="1"/>
    </xf>
    <xf numFmtId="0" fontId="1" fillId="6" borderId="7" xfId="0" applyNumberFormat="1" applyFont="1" applyFill="1" applyBorder="1" applyAlignment="1">
      <alignment horizontal="center" vertical="center" textRotation="90" wrapText="1"/>
    </xf>
    <xf numFmtId="164" fontId="1" fillId="4" borderId="11" xfId="0" applyNumberFormat="1" applyFont="1" applyFill="1" applyBorder="1" applyAlignment="1">
      <alignment horizontal="center" vertical="center" textRotation="90" wrapText="1"/>
    </xf>
    <xf numFmtId="0" fontId="1" fillId="0" borderId="21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/>
    <xf numFmtId="0" fontId="4" fillId="3" borderId="35" xfId="0" applyFont="1" applyFill="1" applyBorder="1"/>
    <xf numFmtId="0" fontId="2" fillId="11" borderId="21" xfId="0" applyNumberFormat="1" applyFont="1" applyFill="1" applyBorder="1" applyAlignment="1">
      <alignment horizontal="center" vertical="center" textRotation="90" wrapText="1"/>
    </xf>
    <xf numFmtId="0" fontId="4" fillId="3" borderId="8" xfId="0" applyFont="1" applyFill="1" applyBorder="1"/>
    <xf numFmtId="0" fontId="4" fillId="3" borderId="9" xfId="0" applyFont="1" applyFill="1" applyBorder="1"/>
    <xf numFmtId="0" fontId="4" fillId="3" borderId="31" xfId="0" applyFont="1" applyFill="1" applyBorder="1"/>
    <xf numFmtId="0" fontId="4" fillId="3" borderId="36" xfId="0" applyFont="1" applyFill="1" applyBorder="1"/>
    <xf numFmtId="0" fontId="4" fillId="3" borderId="10" xfId="0" applyFont="1" applyFill="1" applyBorder="1"/>
    <xf numFmtId="0" fontId="4" fillId="3" borderId="26" xfId="0" applyFont="1" applyFill="1" applyBorder="1"/>
    <xf numFmtId="1" fontId="5" fillId="12" borderId="13" xfId="0" applyNumberFormat="1" applyFont="1" applyFill="1" applyBorder="1" applyAlignment="1">
      <alignment vertical="top" wrapText="1"/>
    </xf>
    <xf numFmtId="0" fontId="5" fillId="12" borderId="13" xfId="0" applyFont="1" applyFill="1" applyBorder="1" applyAlignment="1">
      <alignment vertical="top" wrapText="1"/>
    </xf>
    <xf numFmtId="1" fontId="4" fillId="12" borderId="23" xfId="0" applyNumberFormat="1" applyFont="1" applyFill="1" applyBorder="1"/>
    <xf numFmtId="0" fontId="4" fillId="12" borderId="16" xfId="0" applyFont="1" applyFill="1" applyBorder="1"/>
    <xf numFmtId="0" fontId="4" fillId="12" borderId="13" xfId="0" applyFont="1" applyFill="1" applyBorder="1"/>
    <xf numFmtId="0" fontId="4" fillId="12" borderId="23" xfId="0" applyFont="1" applyFill="1" applyBorder="1"/>
    <xf numFmtId="0" fontId="4" fillId="12" borderId="35" xfId="0" applyFont="1" applyFill="1" applyBorder="1"/>
    <xf numFmtId="0" fontId="4" fillId="12" borderId="15" xfId="0" applyFont="1" applyFill="1" applyBorder="1"/>
    <xf numFmtId="0" fontId="4" fillId="12" borderId="33" xfId="0" applyFont="1" applyFill="1" applyBorder="1"/>
    <xf numFmtId="0" fontId="4" fillId="12" borderId="0" xfId="0" applyFont="1" applyFill="1"/>
    <xf numFmtId="0" fontId="2" fillId="0" borderId="1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4" xfId="0" applyNumberFormat="1" applyFont="1" applyFill="1" applyBorder="1" applyAlignment="1">
      <alignment horizontal="left" vertical="top"/>
    </xf>
    <xf numFmtId="1" fontId="6" fillId="0" borderId="0" xfId="0" applyNumberFormat="1" applyFont="1"/>
    <xf numFmtId="164" fontId="6" fillId="0" borderId="0" xfId="0" applyNumberFormat="1" applyFont="1"/>
    <xf numFmtId="0" fontId="4" fillId="0" borderId="0" xfId="0" applyFont="1" applyFill="1" applyBorder="1"/>
    <xf numFmtId="0" fontId="0" fillId="0" borderId="0" xfId="0" applyFill="1" applyBorder="1"/>
    <xf numFmtId="0" fontId="9" fillId="0" borderId="0" xfId="0" applyFont="1" applyFill="1" applyBorder="1"/>
    <xf numFmtId="1" fontId="0" fillId="0" borderId="0" xfId="0" applyNumberFormat="1" applyFill="1" applyBorder="1"/>
    <xf numFmtId="2" fontId="4" fillId="0" borderId="0" xfId="0" applyNumberFormat="1" applyFont="1" applyFill="1" applyBorder="1"/>
    <xf numFmtId="0" fontId="10" fillId="0" borderId="16" xfId="0" applyFont="1" applyBorder="1"/>
    <xf numFmtId="0" fontId="10" fillId="0" borderId="13" xfId="0" applyFont="1" applyBorder="1"/>
    <xf numFmtId="1" fontId="5" fillId="15" borderId="13" xfId="0" applyNumberFormat="1" applyFont="1" applyFill="1" applyBorder="1" applyAlignment="1">
      <alignment vertical="top" wrapText="1"/>
    </xf>
    <xf numFmtId="0" fontId="5" fillId="15" borderId="13" xfId="0" applyFont="1" applyFill="1" applyBorder="1" applyAlignment="1">
      <alignment vertical="top" wrapText="1"/>
    </xf>
    <xf numFmtId="1" fontId="4" fillId="15" borderId="23" xfId="0" applyNumberFormat="1" applyFont="1" applyFill="1" applyBorder="1"/>
    <xf numFmtId="0" fontId="4" fillId="15" borderId="16" xfId="0" applyFont="1" applyFill="1" applyBorder="1"/>
    <xf numFmtId="0" fontId="4" fillId="15" borderId="13" xfId="0" applyFont="1" applyFill="1" applyBorder="1"/>
    <xf numFmtId="0" fontId="4" fillId="15" borderId="23" xfId="0" applyFont="1" applyFill="1" applyBorder="1"/>
    <xf numFmtId="0" fontId="4" fillId="15" borderId="35" xfId="0" applyFont="1" applyFill="1" applyBorder="1"/>
    <xf numFmtId="0" fontId="4" fillId="15" borderId="15" xfId="0" applyFont="1" applyFill="1" applyBorder="1"/>
    <xf numFmtId="0" fontId="4" fillId="15" borderId="33" xfId="0" applyFont="1" applyFill="1" applyBorder="1"/>
    <xf numFmtId="0" fontId="4" fillId="15" borderId="0" xfId="0" applyFont="1" applyFill="1"/>
    <xf numFmtId="0" fontId="4" fillId="0" borderId="6" xfId="0" applyNumberFormat="1" applyFont="1" applyFill="1" applyBorder="1" applyAlignment="1">
      <alignment horizontal="center" vertical="center" textRotation="90" wrapText="1"/>
    </xf>
    <xf numFmtId="164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11" fillId="3" borderId="37" xfId="2" applyNumberFormat="1" applyFont="1" applyFill="1" applyBorder="1" applyAlignment="1">
      <alignment horizontal="left" vertical="top"/>
    </xf>
    <xf numFmtId="4" fontId="11" fillId="3" borderId="37" xfId="2" applyNumberFormat="1" applyFont="1" applyFill="1" applyBorder="1" applyAlignment="1">
      <alignment horizontal="right" vertical="top"/>
    </xf>
    <xf numFmtId="0" fontId="11" fillId="13" borderId="37" xfId="2" applyNumberFormat="1" applyFont="1" applyFill="1" applyBorder="1" applyAlignment="1">
      <alignment horizontal="left" vertical="top"/>
    </xf>
    <xf numFmtId="4" fontId="11" fillId="13" borderId="37" xfId="2" applyNumberFormat="1" applyFont="1" applyFill="1" applyBorder="1" applyAlignment="1">
      <alignment horizontal="right" vertical="top"/>
    </xf>
    <xf numFmtId="0" fontId="11" fillId="14" borderId="37" xfId="2" applyNumberFormat="1" applyFont="1" applyFill="1" applyBorder="1" applyAlignment="1">
      <alignment horizontal="left" vertical="top"/>
    </xf>
    <xf numFmtId="0" fontId="11" fillId="12" borderId="37" xfId="2" applyNumberFormat="1" applyFont="1" applyFill="1" applyBorder="1" applyAlignment="1">
      <alignment horizontal="left" vertical="top"/>
    </xf>
    <xf numFmtId="0" fontId="11" fillId="15" borderId="37" xfId="2" applyNumberFormat="1" applyFont="1" applyFill="1" applyBorder="1" applyAlignment="1">
      <alignment horizontal="left" vertical="top"/>
    </xf>
    <xf numFmtId="4" fontId="11" fillId="15" borderId="37" xfId="2" applyNumberFormat="1" applyFont="1" applyFill="1" applyBorder="1" applyAlignment="1">
      <alignment horizontal="right" vertical="top"/>
    </xf>
    <xf numFmtId="0" fontId="11" fillId="12" borderId="37" xfId="2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 2" xfId="1"/>
    <cellStyle name="Обычный_2.1.8 202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BT167"/>
  <sheetViews>
    <sheetView tabSelected="1" zoomScale="115" zoomScaleNormal="115" workbookViewId="0">
      <pane ySplit="3" topLeftCell="A25" activePane="bottomLeft" state="frozen"/>
      <selection pane="bottomLeft" activeCell="R138" sqref="R138"/>
    </sheetView>
  </sheetViews>
  <sheetFormatPr defaultColWidth="10.5" defaultRowHeight="15.75" x14ac:dyDescent="0.25"/>
  <cols>
    <col min="1" max="1" width="10" style="20" customWidth="1"/>
    <col min="2" max="2" width="8.33203125" style="20" customWidth="1"/>
    <col min="3" max="3" width="24.33203125" style="20" customWidth="1"/>
    <col min="4" max="4" width="27.1640625" style="147" customWidth="1"/>
    <col min="5" max="5" width="15.1640625" style="147" customWidth="1"/>
    <col min="6" max="6" width="19.33203125" style="147" customWidth="1"/>
    <col min="7" max="8" width="15.1640625" style="147" customWidth="1"/>
    <col min="9" max="9" width="5.6640625" style="147" customWidth="1"/>
    <col min="10" max="10" width="5" style="147" customWidth="1"/>
    <col min="11" max="11" width="4.6640625" style="147" customWidth="1"/>
    <col min="12" max="12" width="15" style="147" customWidth="1"/>
    <col min="13" max="13" width="14.5" style="17" customWidth="1"/>
    <col min="14" max="14" width="16.6640625" style="17" customWidth="1"/>
    <col min="15" max="15" width="13.1640625" style="17" customWidth="1"/>
    <col min="16" max="16" width="14.6640625" style="17" bestFit="1" customWidth="1"/>
    <col min="17" max="17" width="12.33203125" style="17" customWidth="1"/>
    <col min="18" max="18" width="14.6640625" style="17" bestFit="1" customWidth="1"/>
    <col min="19" max="20" width="10.5" style="17"/>
    <col min="21" max="56" width="8.33203125" style="17" customWidth="1"/>
    <col min="57" max="61" width="6.6640625" style="17" customWidth="1"/>
    <col min="62" max="62" width="6.6640625" style="91" customWidth="1"/>
    <col min="63" max="63" width="6.6640625" style="17" customWidth="1"/>
    <col min="64" max="72" width="6.5" style="17" customWidth="1"/>
    <col min="73" max="16384" width="10.5" style="17"/>
  </cols>
  <sheetData>
    <row r="1" spans="1:72" ht="13.5" thickBot="1" x14ac:dyDescent="0.25">
      <c r="A1" s="1"/>
      <c r="B1" s="1"/>
      <c r="C1" s="121" t="s">
        <v>245</v>
      </c>
      <c r="D1" s="122"/>
      <c r="E1" s="122"/>
      <c r="F1" s="122"/>
      <c r="G1" s="122"/>
      <c r="H1" s="122"/>
      <c r="I1" s="122"/>
      <c r="J1" s="122"/>
      <c r="K1" s="122"/>
      <c r="L1" s="122"/>
      <c r="M1" s="121"/>
      <c r="N1" s="121"/>
      <c r="O1" s="121"/>
      <c r="P1" s="121"/>
      <c r="Q1" s="121"/>
      <c r="R1" s="121"/>
      <c r="S1" s="121"/>
      <c r="T1" s="123"/>
      <c r="U1" s="2" t="s">
        <v>156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4"/>
      <c r="BE1" s="2" t="s">
        <v>157</v>
      </c>
      <c r="BF1" s="3"/>
      <c r="BG1" s="3"/>
      <c r="BH1" s="3"/>
      <c r="BI1" s="3"/>
      <c r="BJ1" s="90"/>
      <c r="BK1" s="4"/>
      <c r="BL1" s="2" t="s">
        <v>158</v>
      </c>
      <c r="BM1" s="3"/>
      <c r="BN1" s="3"/>
      <c r="BO1" s="3"/>
      <c r="BP1" s="3"/>
      <c r="BQ1" s="3"/>
      <c r="BR1" s="3"/>
      <c r="BS1" s="3"/>
      <c r="BT1" s="4"/>
    </row>
    <row r="2" spans="1:72" ht="133.5" thickBot="1" x14ac:dyDescent="0.25">
      <c r="A2" s="5" t="s">
        <v>159</v>
      </c>
      <c r="B2" s="6" t="s">
        <v>0</v>
      </c>
      <c r="C2" s="6" t="s">
        <v>160</v>
      </c>
      <c r="D2" s="143" t="s">
        <v>161</v>
      </c>
      <c r="E2" s="144" t="s">
        <v>162</v>
      </c>
      <c r="F2" s="143" t="s">
        <v>163</v>
      </c>
      <c r="G2" s="144" t="s">
        <v>164</v>
      </c>
      <c r="H2" s="143" t="s">
        <v>1</v>
      </c>
      <c r="I2" s="143" t="s">
        <v>165</v>
      </c>
      <c r="J2" s="143" t="s">
        <v>166</v>
      </c>
      <c r="K2" s="143" t="s">
        <v>167</v>
      </c>
      <c r="L2" s="144" t="s">
        <v>168</v>
      </c>
      <c r="M2" s="62" t="s">
        <v>169</v>
      </c>
      <c r="N2" s="67" t="s">
        <v>170</v>
      </c>
      <c r="O2" s="22" t="s">
        <v>171</v>
      </c>
      <c r="P2" s="22" t="s">
        <v>172</v>
      </c>
      <c r="Q2" s="22" t="s">
        <v>173</v>
      </c>
      <c r="R2" s="22" t="s">
        <v>174</v>
      </c>
      <c r="S2" s="99" t="s">
        <v>175</v>
      </c>
      <c r="T2" s="104" t="s">
        <v>176</v>
      </c>
      <c r="U2" s="75" t="s">
        <v>177</v>
      </c>
      <c r="V2" s="76" t="s">
        <v>178</v>
      </c>
      <c r="W2" s="76" t="s">
        <v>179</v>
      </c>
      <c r="X2" s="76" t="s">
        <v>180</v>
      </c>
      <c r="Y2" s="76" t="s">
        <v>181</v>
      </c>
      <c r="Z2" s="76" t="s">
        <v>182</v>
      </c>
      <c r="AA2" s="76" t="s">
        <v>183</v>
      </c>
      <c r="AB2" s="76" t="s">
        <v>184</v>
      </c>
      <c r="AC2" s="76" t="s">
        <v>185</v>
      </c>
      <c r="AD2" s="76" t="s">
        <v>186</v>
      </c>
      <c r="AE2" s="76" t="s">
        <v>187</v>
      </c>
      <c r="AF2" s="76" t="s">
        <v>188</v>
      </c>
      <c r="AG2" s="76" t="s">
        <v>189</v>
      </c>
      <c r="AH2" s="76" t="s">
        <v>190</v>
      </c>
      <c r="AI2" s="76" t="s">
        <v>191</v>
      </c>
      <c r="AJ2" s="76" t="s">
        <v>192</v>
      </c>
      <c r="AK2" s="76" t="s">
        <v>193</v>
      </c>
      <c r="AL2" s="76" t="s">
        <v>194</v>
      </c>
      <c r="AM2" s="76" t="s">
        <v>195</v>
      </c>
      <c r="AN2" s="76" t="s">
        <v>196</v>
      </c>
      <c r="AO2" s="76" t="s">
        <v>197</v>
      </c>
      <c r="AP2" s="76" t="s">
        <v>198</v>
      </c>
      <c r="AQ2" s="76" t="s">
        <v>199</v>
      </c>
      <c r="AR2" s="76" t="s">
        <v>200</v>
      </c>
      <c r="AS2" s="76" t="s">
        <v>201</v>
      </c>
      <c r="AT2" s="76" t="s">
        <v>202</v>
      </c>
      <c r="AU2" s="76" t="s">
        <v>203</v>
      </c>
      <c r="AV2" s="76" t="s">
        <v>204</v>
      </c>
      <c r="AW2" s="76" t="s">
        <v>205</v>
      </c>
      <c r="AX2" s="76" t="s">
        <v>206</v>
      </c>
      <c r="AY2" s="76" t="s">
        <v>207</v>
      </c>
      <c r="AZ2" s="76" t="s">
        <v>208</v>
      </c>
      <c r="BA2" s="76" t="s">
        <v>209</v>
      </c>
      <c r="BB2" s="76" t="s">
        <v>210</v>
      </c>
      <c r="BC2" s="76" t="s">
        <v>211</v>
      </c>
      <c r="BD2" s="79" t="s">
        <v>212</v>
      </c>
      <c r="BE2" s="77" t="s">
        <v>213</v>
      </c>
      <c r="BF2" s="78" t="s">
        <v>214</v>
      </c>
      <c r="BG2" s="78" t="s">
        <v>215</v>
      </c>
      <c r="BH2" s="78" t="s">
        <v>216</v>
      </c>
      <c r="BI2" s="83" t="s">
        <v>217</v>
      </c>
      <c r="BJ2" s="92" t="s">
        <v>218</v>
      </c>
      <c r="BK2" s="87" t="s">
        <v>219</v>
      </c>
      <c r="BL2" s="96" t="s">
        <v>220</v>
      </c>
      <c r="BM2" s="97" t="s">
        <v>221</v>
      </c>
      <c r="BN2" s="97" t="s">
        <v>222</v>
      </c>
      <c r="BO2" s="97" t="s">
        <v>223</v>
      </c>
      <c r="BP2" s="97" t="s">
        <v>224</v>
      </c>
      <c r="BQ2" s="97" t="s">
        <v>225</v>
      </c>
      <c r="BR2" s="97" t="s">
        <v>226</v>
      </c>
      <c r="BS2" s="97" t="s">
        <v>227</v>
      </c>
      <c r="BT2" s="98" t="s">
        <v>228</v>
      </c>
    </row>
    <row r="3" spans="1:72" ht="16.5" thickBot="1" x14ac:dyDescent="0.25">
      <c r="A3" s="7">
        <v>1</v>
      </c>
      <c r="B3" s="8">
        <v>2</v>
      </c>
      <c r="C3" s="8">
        <v>3</v>
      </c>
      <c r="D3" s="145">
        <v>4</v>
      </c>
      <c r="E3" s="146">
        <v>5</v>
      </c>
      <c r="F3" s="145">
        <v>6</v>
      </c>
      <c r="G3" s="146">
        <v>7</v>
      </c>
      <c r="H3" s="145">
        <v>8</v>
      </c>
      <c r="I3" s="145">
        <v>9</v>
      </c>
      <c r="J3" s="145">
        <v>10</v>
      </c>
      <c r="K3" s="145">
        <v>11</v>
      </c>
      <c r="L3" s="146">
        <v>12</v>
      </c>
      <c r="M3" s="63">
        <v>13</v>
      </c>
      <c r="N3" s="68">
        <v>14</v>
      </c>
      <c r="O3" s="9">
        <v>15</v>
      </c>
      <c r="P3" s="9">
        <v>16</v>
      </c>
      <c r="Q3" s="9">
        <v>17</v>
      </c>
      <c r="R3" s="9">
        <v>18</v>
      </c>
      <c r="S3" s="63">
        <v>19</v>
      </c>
      <c r="T3" s="100">
        <v>20</v>
      </c>
      <c r="U3" s="7">
        <v>21</v>
      </c>
      <c r="V3" s="8">
        <v>22</v>
      </c>
      <c r="W3" s="8">
        <v>23</v>
      </c>
      <c r="X3" s="8">
        <v>24</v>
      </c>
      <c r="Y3" s="8">
        <v>25</v>
      </c>
      <c r="Z3" s="8">
        <v>26</v>
      </c>
      <c r="AA3" s="8">
        <v>27</v>
      </c>
      <c r="AB3" s="8">
        <v>28</v>
      </c>
      <c r="AC3" s="8">
        <v>29</v>
      </c>
      <c r="AD3" s="8">
        <v>30</v>
      </c>
      <c r="AE3" s="8">
        <v>31</v>
      </c>
      <c r="AF3" s="8">
        <v>32</v>
      </c>
      <c r="AG3" s="8">
        <v>33</v>
      </c>
      <c r="AH3" s="8">
        <v>34</v>
      </c>
      <c r="AI3" s="8">
        <v>35</v>
      </c>
      <c r="AJ3" s="8">
        <v>36</v>
      </c>
      <c r="AK3" s="8">
        <v>37</v>
      </c>
      <c r="AL3" s="8">
        <v>38</v>
      </c>
      <c r="AM3" s="8">
        <v>39</v>
      </c>
      <c r="AN3" s="8">
        <v>40</v>
      </c>
      <c r="AO3" s="8">
        <v>41</v>
      </c>
      <c r="AP3" s="8">
        <v>42</v>
      </c>
      <c r="AQ3" s="8">
        <v>43</v>
      </c>
      <c r="AR3" s="8">
        <v>44</v>
      </c>
      <c r="AS3" s="8">
        <v>45</v>
      </c>
      <c r="AT3" s="8">
        <v>46</v>
      </c>
      <c r="AU3" s="8">
        <v>47</v>
      </c>
      <c r="AV3" s="8">
        <v>48</v>
      </c>
      <c r="AW3" s="8">
        <v>49</v>
      </c>
      <c r="AX3" s="8">
        <v>50</v>
      </c>
      <c r="AY3" s="8">
        <v>51</v>
      </c>
      <c r="AZ3" s="8">
        <v>52</v>
      </c>
      <c r="BA3" s="8">
        <v>53</v>
      </c>
      <c r="BB3" s="8">
        <v>54</v>
      </c>
      <c r="BC3" s="8">
        <v>55</v>
      </c>
      <c r="BD3" s="10">
        <v>56</v>
      </c>
      <c r="BE3" s="80">
        <v>57</v>
      </c>
      <c r="BF3" s="81">
        <v>58</v>
      </c>
      <c r="BG3" s="81">
        <v>59</v>
      </c>
      <c r="BH3" s="81">
        <v>60</v>
      </c>
      <c r="BI3" s="84">
        <v>61</v>
      </c>
      <c r="BJ3" s="88">
        <v>62</v>
      </c>
      <c r="BK3" s="82">
        <v>63</v>
      </c>
      <c r="BL3" s="7">
        <v>64</v>
      </c>
      <c r="BM3" s="8">
        <v>65</v>
      </c>
      <c r="BN3" s="8">
        <v>66</v>
      </c>
      <c r="BO3" s="8">
        <v>67</v>
      </c>
      <c r="BP3" s="8">
        <v>68</v>
      </c>
      <c r="BQ3" s="8">
        <v>69</v>
      </c>
      <c r="BR3" s="8">
        <v>70</v>
      </c>
      <c r="BS3" s="8">
        <v>71</v>
      </c>
      <c r="BT3" s="10">
        <v>72</v>
      </c>
    </row>
    <row r="4" spans="1:72" ht="47.25" x14ac:dyDescent="0.2">
      <c r="A4" s="12" t="s">
        <v>229</v>
      </c>
      <c r="B4" s="12"/>
      <c r="C4" s="12"/>
      <c r="D4" s="12"/>
      <c r="E4" s="13"/>
      <c r="F4" s="12"/>
      <c r="G4" s="13"/>
      <c r="H4" s="13"/>
      <c r="I4" s="12"/>
      <c r="J4" s="12"/>
      <c r="K4" s="12"/>
      <c r="L4" s="14"/>
      <c r="M4" s="64">
        <f>SUM(M5:M163)</f>
        <v>119490651.38034001</v>
      </c>
      <c r="N4" s="69">
        <f>SUM(N5:N163)</f>
        <v>81172156.715210006</v>
      </c>
      <c r="O4" s="11">
        <f>SUM(O5:O163)</f>
        <v>8695007.3322899994</v>
      </c>
      <c r="P4" s="11">
        <f>SUM(P5:P163)</f>
        <v>6531579.0422200002</v>
      </c>
      <c r="Q4" s="11">
        <f>SUM(Q5:Q163)</f>
        <v>1293186</v>
      </c>
      <c r="R4" s="11">
        <f>SUM(R5:R163)</f>
        <v>21747369.140619997</v>
      </c>
      <c r="S4" s="64">
        <f>SUM(S5:S163)</f>
        <v>51353.15</v>
      </c>
      <c r="T4" s="101" t="s">
        <v>348</v>
      </c>
      <c r="U4" s="69">
        <f t="shared" ref="Q4:V4" si="0">SUM(U5:U171)</f>
        <v>42</v>
      </c>
      <c r="V4" s="11">
        <f t="shared" si="0"/>
        <v>45</v>
      </c>
      <c r="W4" s="11">
        <f t="shared" ref="W4" si="1">SUM(W5:W171)</f>
        <v>28</v>
      </c>
      <c r="X4" s="11">
        <f t="shared" ref="X4" si="2">SUM(X5:X171)</f>
        <v>11</v>
      </c>
      <c r="Y4" s="11">
        <f t="shared" ref="Y4" si="3">SUM(Y5:Y171)</f>
        <v>19</v>
      </c>
      <c r="Z4" s="11">
        <f t="shared" ref="Z4" si="4">SUM(Z5:Z171)</f>
        <v>43</v>
      </c>
      <c r="AA4" s="11">
        <f t="shared" ref="AA4" si="5">SUM(AA5:AA171)</f>
        <v>46</v>
      </c>
      <c r="AB4" s="11">
        <f t="shared" ref="AB4" si="6">SUM(AB5:AB171)</f>
        <v>51</v>
      </c>
      <c r="AC4" s="11">
        <f t="shared" ref="AC4" si="7">SUM(AC5:AC171)</f>
        <v>46</v>
      </c>
      <c r="AD4" s="11">
        <f t="shared" ref="AD4" si="8">SUM(AD5:AD171)</f>
        <v>40</v>
      </c>
      <c r="AE4" s="11">
        <f t="shared" ref="AE4" si="9">SUM(AE5:AE171)</f>
        <v>56</v>
      </c>
      <c r="AF4" s="11">
        <f t="shared" ref="AF4" si="10">SUM(AF5:AF171)</f>
        <v>45</v>
      </c>
      <c r="AG4" s="11">
        <f t="shared" ref="AG4" si="11">SUM(AG5:AG171)</f>
        <v>58</v>
      </c>
      <c r="AH4" s="11">
        <f t="shared" ref="AH4" si="12">SUM(AH5:AH171)</f>
        <v>47</v>
      </c>
      <c r="AI4" s="11">
        <f t="shared" ref="AI4" si="13">SUM(AI5:AI171)</f>
        <v>40</v>
      </c>
      <c r="AJ4" s="11">
        <f t="shared" ref="AJ4" si="14">SUM(AJ5:AJ171)</f>
        <v>20</v>
      </c>
      <c r="AK4" s="11">
        <f t="shared" ref="AK4" si="15">SUM(AK5:AK171)</f>
        <v>38</v>
      </c>
      <c r="AL4" s="11">
        <f t="shared" ref="AL4" si="16">SUM(AL5:AL171)</f>
        <v>50</v>
      </c>
      <c r="AM4" s="11">
        <f t="shared" ref="AM4" si="17">SUM(AM5:AM171)</f>
        <v>33</v>
      </c>
      <c r="AN4" s="11">
        <f t="shared" ref="AN4" si="18">SUM(AN5:AN171)</f>
        <v>30</v>
      </c>
      <c r="AO4" s="11">
        <f t="shared" ref="AO4" si="19">SUM(AO5:AO171)</f>
        <v>31</v>
      </c>
      <c r="AP4" s="11">
        <f t="shared" ref="AP4" si="20">SUM(AP5:AP171)</f>
        <v>31</v>
      </c>
      <c r="AQ4" s="11">
        <f t="shared" ref="AQ4" si="21">SUM(AQ5:AQ171)</f>
        <v>9</v>
      </c>
      <c r="AR4" s="11">
        <f t="shared" ref="AR4" si="22">SUM(AR5:AR171)</f>
        <v>14</v>
      </c>
      <c r="AS4" s="11">
        <f t="shared" ref="AS4" si="23">SUM(AS5:AS171)</f>
        <v>11</v>
      </c>
      <c r="AT4" s="11">
        <f t="shared" ref="AT4" si="24">SUM(AT5:AT171)</f>
        <v>5</v>
      </c>
      <c r="AU4" s="11">
        <f t="shared" ref="AU4" si="25">SUM(AU5:AU171)</f>
        <v>20</v>
      </c>
      <c r="AV4" s="11">
        <f t="shared" ref="AV4" si="26">SUM(AV5:AV171)</f>
        <v>7</v>
      </c>
      <c r="AW4" s="11">
        <f t="shared" ref="AW4" si="27">SUM(AW5:AW171)</f>
        <v>2</v>
      </c>
      <c r="AX4" s="11">
        <f t="shared" ref="AX4" si="28">SUM(AX5:AX171)</f>
        <v>1</v>
      </c>
      <c r="AY4" s="11">
        <f t="shared" ref="AY4" si="29">SUM(AY5:AY171)</f>
        <v>8</v>
      </c>
      <c r="AZ4" s="11">
        <f t="shared" ref="AZ4" si="30">SUM(AZ5:AZ171)</f>
        <v>1</v>
      </c>
      <c r="BA4" s="11">
        <f t="shared" ref="BA4" si="31">SUM(BA5:BA171)</f>
        <v>2</v>
      </c>
      <c r="BB4" s="11">
        <f t="shared" ref="BB4" si="32">SUM(BB5:BB171)</f>
        <v>28</v>
      </c>
      <c r="BC4" s="11">
        <f t="shared" ref="BC4" si="33">SUM(BC5:BC171)</f>
        <v>9</v>
      </c>
      <c r="BD4" s="70">
        <f t="shared" ref="BD4" si="34">SUM(BD5:BD171)</f>
        <v>2</v>
      </c>
      <c r="BE4" s="69">
        <f t="shared" ref="BE4" si="35">SUM(BE5:BE171)</f>
        <v>28</v>
      </c>
      <c r="BF4" s="11">
        <f t="shared" ref="BF4" si="36">SUM(BF5:BF171)</f>
        <v>22</v>
      </c>
      <c r="BG4" s="11">
        <f t="shared" ref="BG4" si="37">SUM(BG5:BG171)</f>
        <v>64</v>
      </c>
      <c r="BH4" s="11">
        <f t="shared" ref="BH4" si="38">SUM(BH5:BH171)</f>
        <v>72</v>
      </c>
      <c r="BI4" s="64">
        <f t="shared" ref="BI4" si="39">SUM(BI5:BI171)</f>
        <v>0</v>
      </c>
      <c r="BJ4" s="89">
        <f t="shared" ref="BJ4" si="40">SUM(BJ5:BJ171)</f>
        <v>54</v>
      </c>
      <c r="BK4" s="93">
        <f t="shared" ref="BK4" si="41">SUM(BK5:BK171)</f>
        <v>13</v>
      </c>
      <c r="BL4" s="69">
        <f t="shared" ref="BL4" si="42">SUM(BL5:BL171)</f>
        <v>50</v>
      </c>
      <c r="BM4" s="11">
        <f t="shared" ref="BM4" si="43">SUM(BM5:BM171)</f>
        <v>41</v>
      </c>
      <c r="BN4" s="11">
        <f t="shared" ref="BN4" si="44">SUM(BN5:BN171)</f>
        <v>31</v>
      </c>
      <c r="BO4" s="11">
        <f t="shared" ref="BO4" si="45">SUM(BO5:BO171)</f>
        <v>0</v>
      </c>
      <c r="BP4" s="11">
        <f t="shared" ref="BP4" si="46">SUM(BP5:BP171)</f>
        <v>13</v>
      </c>
      <c r="BQ4" s="11">
        <f t="shared" ref="BQ4" si="47">SUM(BQ5:BQ171)</f>
        <v>0</v>
      </c>
      <c r="BR4" s="11">
        <f t="shared" ref="BR4" si="48">SUM(BR5:BR171)</f>
        <v>67</v>
      </c>
      <c r="BS4" s="11">
        <f t="shared" ref="BS4" si="49">SUM(BS5:BS171)</f>
        <v>34</v>
      </c>
      <c r="BT4" s="70">
        <f t="shared" ref="BT4" si="50">SUM(BT5:BT171)</f>
        <v>16</v>
      </c>
    </row>
    <row r="5" spans="1:72" s="25" customFormat="1" x14ac:dyDescent="0.25">
      <c r="A5" s="23">
        <v>11</v>
      </c>
      <c r="B5" s="21" t="s">
        <v>2</v>
      </c>
      <c r="C5" s="21" t="s">
        <v>3</v>
      </c>
      <c r="D5" s="148" t="s">
        <v>354</v>
      </c>
      <c r="E5" s="149">
        <v>500000</v>
      </c>
      <c r="F5" s="148" t="s">
        <v>355</v>
      </c>
      <c r="G5" s="149">
        <v>4500000</v>
      </c>
      <c r="H5" s="148" t="s">
        <v>4</v>
      </c>
      <c r="I5" s="148" t="s">
        <v>356</v>
      </c>
      <c r="J5" s="148" t="s">
        <v>356</v>
      </c>
      <c r="K5" s="148" t="s">
        <v>357</v>
      </c>
      <c r="L5" s="148" t="s">
        <v>356</v>
      </c>
      <c r="M5" s="66">
        <f>SUM(N5:S5)</f>
        <v>41000</v>
      </c>
      <c r="N5" s="73">
        <v>41000</v>
      </c>
      <c r="O5" s="24"/>
      <c r="P5" s="24"/>
      <c r="Q5" s="24"/>
      <c r="R5" s="24"/>
      <c r="S5" s="86"/>
      <c r="T5" s="103">
        <v>8</v>
      </c>
      <c r="U5" s="73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>
        <v>1</v>
      </c>
      <c r="AI5" s="24"/>
      <c r="AJ5" s="24"/>
      <c r="AK5" s="24">
        <v>1</v>
      </c>
      <c r="AL5" s="24"/>
      <c r="AM5" s="24"/>
      <c r="AN5" s="24"/>
      <c r="AO5" s="24"/>
      <c r="AP5" s="24"/>
      <c r="AQ5" s="24"/>
      <c r="AR5" s="24"/>
      <c r="AS5" s="24"/>
      <c r="AT5" s="24"/>
      <c r="AU5" s="24">
        <v>1</v>
      </c>
      <c r="AV5" s="24"/>
      <c r="AW5" s="24"/>
      <c r="AX5" s="24"/>
      <c r="AY5" s="24"/>
      <c r="AZ5" s="24"/>
      <c r="BA5" s="24"/>
      <c r="BB5" s="24"/>
      <c r="BC5" s="24"/>
      <c r="BD5" s="74"/>
      <c r="BE5" s="73"/>
      <c r="BF5" s="24"/>
      <c r="BG5" s="24"/>
      <c r="BH5" s="24">
        <v>1</v>
      </c>
      <c r="BI5" s="86"/>
      <c r="BJ5" s="24"/>
      <c r="BK5" s="95"/>
      <c r="BL5" s="73"/>
      <c r="BM5" s="24"/>
      <c r="BN5" s="24"/>
      <c r="BO5" s="24"/>
      <c r="BP5" s="24"/>
      <c r="BQ5" s="24"/>
      <c r="BR5" s="24">
        <v>1</v>
      </c>
      <c r="BS5" s="24"/>
      <c r="BT5" s="74"/>
    </row>
    <row r="6" spans="1:72" s="25" customFormat="1" x14ac:dyDescent="0.25">
      <c r="A6" s="23">
        <v>14</v>
      </c>
      <c r="B6" s="21" t="s">
        <v>2</v>
      </c>
      <c r="C6" s="21" t="s">
        <v>5</v>
      </c>
      <c r="D6" s="148" t="s">
        <v>354</v>
      </c>
      <c r="E6" s="149">
        <v>500000</v>
      </c>
      <c r="F6" s="148" t="s">
        <v>354</v>
      </c>
      <c r="G6" s="149">
        <v>2500000</v>
      </c>
      <c r="H6" s="148" t="s">
        <v>4</v>
      </c>
      <c r="I6" s="148" t="s">
        <v>356</v>
      </c>
      <c r="J6" s="148" t="s">
        <v>357</v>
      </c>
      <c r="K6" s="148" t="s">
        <v>357</v>
      </c>
      <c r="L6" s="148" t="s">
        <v>356</v>
      </c>
      <c r="M6" s="66">
        <f t="shared" ref="M6:M69" si="51">SUM(N6:S6)</f>
        <v>142500</v>
      </c>
      <c r="N6" s="73"/>
      <c r="O6" s="24">
        <v>32413.63</v>
      </c>
      <c r="P6" s="24">
        <f>1178.02+7539.94+45487.75+51531.45+2869.01+1480.2</f>
        <v>110086.37</v>
      </c>
      <c r="Q6" s="24"/>
      <c r="R6" s="24"/>
      <c r="S6" s="86"/>
      <c r="T6" s="103">
        <v>8</v>
      </c>
      <c r="U6" s="73">
        <v>1</v>
      </c>
      <c r="V6" s="24">
        <v>1</v>
      </c>
      <c r="W6" s="24">
        <v>1</v>
      </c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>
        <v>1</v>
      </c>
      <c r="AL6" s="24">
        <v>1</v>
      </c>
      <c r="AM6" s="24"/>
      <c r="AN6" s="24"/>
      <c r="AO6" s="24"/>
      <c r="AP6" s="24">
        <v>1</v>
      </c>
      <c r="AQ6" s="24"/>
      <c r="AR6" s="24">
        <v>1</v>
      </c>
      <c r="AS6" s="24"/>
      <c r="AT6" s="24"/>
      <c r="AU6" s="24"/>
      <c r="AV6" s="24">
        <v>1</v>
      </c>
      <c r="AW6" s="24"/>
      <c r="AX6" s="24"/>
      <c r="AY6" s="24"/>
      <c r="AZ6" s="24"/>
      <c r="BA6" s="24"/>
      <c r="BB6" s="24">
        <v>1</v>
      </c>
      <c r="BC6" s="24"/>
      <c r="BD6" s="74"/>
      <c r="BE6" s="73"/>
      <c r="BF6" s="24"/>
      <c r="BG6" s="24"/>
      <c r="BH6" s="24"/>
      <c r="BI6" s="86"/>
      <c r="BJ6" s="24">
        <v>1</v>
      </c>
      <c r="BK6" s="95"/>
      <c r="BL6" s="73"/>
      <c r="BM6" s="24"/>
      <c r="BN6" s="24">
        <v>1</v>
      </c>
      <c r="BO6" s="24"/>
      <c r="BP6" s="24"/>
      <c r="BQ6" s="24"/>
      <c r="BR6" s="24"/>
      <c r="BS6" s="24"/>
      <c r="BT6" s="74"/>
    </row>
    <row r="7" spans="1:72" s="19" customFormat="1" x14ac:dyDescent="0.25">
      <c r="A7" s="15">
        <v>19</v>
      </c>
      <c r="B7" s="16" t="s">
        <v>2</v>
      </c>
      <c r="C7" s="16" t="s">
        <v>6</v>
      </c>
      <c r="D7" s="150" t="s">
        <v>7</v>
      </c>
      <c r="E7" s="151">
        <v>100000</v>
      </c>
      <c r="F7" s="150" t="s">
        <v>7</v>
      </c>
      <c r="G7" s="151">
        <v>271434.02</v>
      </c>
      <c r="H7" s="152" t="s">
        <v>4</v>
      </c>
      <c r="I7" s="150" t="s">
        <v>356</v>
      </c>
      <c r="J7" s="150" t="s">
        <v>357</v>
      </c>
      <c r="K7" s="150" t="s">
        <v>357</v>
      </c>
      <c r="L7" s="150" t="s">
        <v>356</v>
      </c>
      <c r="M7" s="65">
        <f t="shared" si="51"/>
        <v>0</v>
      </c>
      <c r="N7" s="71">
        <v>0</v>
      </c>
      <c r="O7" s="18"/>
      <c r="P7" s="18"/>
      <c r="Q7" s="18"/>
      <c r="R7" s="18"/>
      <c r="S7" s="85"/>
      <c r="T7" s="102"/>
      <c r="U7" s="71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72"/>
      <c r="BE7" s="71"/>
      <c r="BF7" s="18"/>
      <c r="BG7" s="18"/>
      <c r="BH7" s="18"/>
      <c r="BI7" s="85"/>
      <c r="BJ7" s="18"/>
      <c r="BK7" s="94"/>
      <c r="BL7" s="71"/>
      <c r="BM7" s="18"/>
      <c r="BN7" s="18"/>
      <c r="BO7" s="18"/>
      <c r="BP7" s="18"/>
      <c r="BQ7" s="18"/>
      <c r="BR7" s="18"/>
      <c r="BS7" s="18"/>
      <c r="BT7" s="72"/>
    </row>
    <row r="8" spans="1:72" s="25" customFormat="1" x14ac:dyDescent="0.25">
      <c r="A8" s="23">
        <v>22</v>
      </c>
      <c r="B8" s="21" t="s">
        <v>2</v>
      </c>
      <c r="C8" s="21" t="s">
        <v>8</v>
      </c>
      <c r="D8" s="148" t="s">
        <v>7</v>
      </c>
      <c r="E8" s="149">
        <v>100000</v>
      </c>
      <c r="F8" s="148" t="s">
        <v>7</v>
      </c>
      <c r="G8" s="149">
        <v>271434.02</v>
      </c>
      <c r="H8" s="148" t="s">
        <v>4</v>
      </c>
      <c r="I8" s="148" t="s">
        <v>356</v>
      </c>
      <c r="J8" s="148" t="s">
        <v>357</v>
      </c>
      <c r="K8" s="148" t="s">
        <v>357</v>
      </c>
      <c r="L8" s="148" t="s">
        <v>356</v>
      </c>
      <c r="M8" s="66">
        <f t="shared" si="51"/>
        <v>5873.3</v>
      </c>
      <c r="N8" s="73">
        <v>5873.3</v>
      </c>
      <c r="O8" s="24"/>
      <c r="Q8" s="24"/>
      <c r="R8" s="24"/>
      <c r="S8" s="86"/>
      <c r="T8" s="103">
        <v>8</v>
      </c>
      <c r="U8" s="73">
        <v>1</v>
      </c>
      <c r="V8" s="24">
        <v>1</v>
      </c>
      <c r="W8" s="24">
        <v>1</v>
      </c>
      <c r="X8" s="24">
        <v>1</v>
      </c>
      <c r="Y8" s="24"/>
      <c r="Z8" s="24"/>
      <c r="AA8" s="24"/>
      <c r="AB8" s="24">
        <v>1</v>
      </c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74"/>
      <c r="BE8" s="73"/>
      <c r="BF8" s="24"/>
      <c r="BG8" s="24">
        <v>1</v>
      </c>
      <c r="BH8" s="24"/>
      <c r="BI8" s="86"/>
      <c r="BJ8" s="24"/>
      <c r="BK8" s="95"/>
      <c r="BL8" s="73"/>
      <c r="BM8" s="24"/>
      <c r="BN8" s="24"/>
      <c r="BO8" s="24"/>
      <c r="BP8" s="24"/>
      <c r="BQ8" s="24"/>
      <c r="BR8" s="24">
        <v>1</v>
      </c>
      <c r="BS8" s="24"/>
      <c r="BT8" s="74"/>
    </row>
    <row r="9" spans="1:72" s="25" customFormat="1" x14ac:dyDescent="0.25">
      <c r="A9" s="23">
        <v>27</v>
      </c>
      <c r="B9" s="21" t="s">
        <v>2</v>
      </c>
      <c r="C9" s="21" t="s">
        <v>9</v>
      </c>
      <c r="D9" s="148" t="s">
        <v>7</v>
      </c>
      <c r="E9" s="149">
        <v>100000</v>
      </c>
      <c r="F9" s="148" t="s">
        <v>7</v>
      </c>
      <c r="G9" s="149">
        <v>271434.02</v>
      </c>
      <c r="H9" s="148" t="s">
        <v>4</v>
      </c>
      <c r="I9" s="148" t="s">
        <v>356</v>
      </c>
      <c r="J9" s="148" t="s">
        <v>357</v>
      </c>
      <c r="K9" s="148" t="s">
        <v>357</v>
      </c>
      <c r="L9" s="148" t="s">
        <v>356</v>
      </c>
      <c r="M9" s="66">
        <f t="shared" si="51"/>
        <v>51318.284989999993</v>
      </c>
      <c r="N9" s="73">
        <v>3020.4165800000001</v>
      </c>
      <c r="O9" s="24"/>
      <c r="P9" s="24">
        <f>18604.80291+8041.22319+21651.84231</f>
        <v>48297.868409999995</v>
      </c>
      <c r="Q9" s="24"/>
      <c r="R9" s="24"/>
      <c r="S9" s="86"/>
      <c r="T9" s="103">
        <v>8</v>
      </c>
      <c r="U9" s="73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>
        <v>1</v>
      </c>
      <c r="AN9" s="24"/>
      <c r="AO9" s="24"/>
      <c r="AP9" s="24">
        <v>1</v>
      </c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74"/>
      <c r="BE9" s="73"/>
      <c r="BF9" s="24"/>
      <c r="BG9" s="24">
        <v>1</v>
      </c>
      <c r="BH9" s="24"/>
      <c r="BI9" s="86"/>
      <c r="BJ9" s="24">
        <v>1</v>
      </c>
      <c r="BK9" s="95"/>
      <c r="BL9" s="73"/>
      <c r="BM9" s="24"/>
      <c r="BN9" s="24">
        <v>1</v>
      </c>
      <c r="BO9" s="24"/>
      <c r="BP9" s="24"/>
      <c r="BQ9" s="24"/>
      <c r="BR9" s="24"/>
      <c r="BS9" s="24"/>
      <c r="BT9" s="74"/>
    </row>
    <row r="10" spans="1:72" s="25" customFormat="1" x14ac:dyDescent="0.25">
      <c r="A10" s="23">
        <v>28</v>
      </c>
      <c r="B10" s="21" t="s">
        <v>2</v>
      </c>
      <c r="C10" s="21" t="s">
        <v>10</v>
      </c>
      <c r="D10" s="148" t="s">
        <v>7</v>
      </c>
      <c r="E10" s="149">
        <v>100000</v>
      </c>
      <c r="F10" s="148" t="s">
        <v>7</v>
      </c>
      <c r="G10" s="149">
        <v>271434.02</v>
      </c>
      <c r="H10" s="148" t="s">
        <v>4</v>
      </c>
      <c r="I10" s="148" t="s">
        <v>356</v>
      </c>
      <c r="J10" s="148" t="s">
        <v>357</v>
      </c>
      <c r="K10" s="148" t="s">
        <v>357</v>
      </c>
      <c r="L10" s="148" t="s">
        <v>356</v>
      </c>
      <c r="M10" s="66">
        <f t="shared" si="51"/>
        <v>26916.884869999998</v>
      </c>
      <c r="N10" s="73"/>
      <c r="O10" s="24"/>
      <c r="P10" s="24">
        <f>4049.295+1505.562+2194.443+6546.08487+5321.73+4338.872+2310.305+650.593</f>
        <v>26916.884869999998</v>
      </c>
      <c r="Q10" s="24"/>
      <c r="R10" s="24"/>
      <c r="S10" s="86"/>
      <c r="T10" s="103">
        <v>8</v>
      </c>
      <c r="U10" s="73"/>
      <c r="V10" s="24"/>
      <c r="W10" s="24"/>
      <c r="X10" s="24"/>
      <c r="Y10" s="24"/>
      <c r="Z10" s="24"/>
      <c r="AA10" s="24"/>
      <c r="AB10" s="24"/>
      <c r="AC10" s="24">
        <v>1</v>
      </c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>
        <v>1</v>
      </c>
      <c r="AP10" s="24">
        <v>1</v>
      </c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74"/>
      <c r="BE10" s="73">
        <v>1</v>
      </c>
      <c r="BF10" s="24"/>
      <c r="BG10" s="24"/>
      <c r="BH10" s="24"/>
      <c r="BI10" s="86"/>
      <c r="BJ10" s="24"/>
      <c r="BK10" s="95"/>
      <c r="BL10" s="73"/>
      <c r="BM10" s="24"/>
      <c r="BN10" s="24">
        <v>1</v>
      </c>
      <c r="BO10" s="24"/>
      <c r="BP10" s="24"/>
      <c r="BQ10" s="24"/>
      <c r="BR10" s="24"/>
      <c r="BS10" s="24"/>
      <c r="BT10" s="74"/>
    </row>
    <row r="11" spans="1:72" s="25" customFormat="1" ht="31.5" x14ac:dyDescent="0.25">
      <c r="A11" s="23">
        <v>29</v>
      </c>
      <c r="B11" s="21" t="s">
        <v>2</v>
      </c>
      <c r="C11" s="21" t="s">
        <v>11</v>
      </c>
      <c r="D11" s="148" t="s">
        <v>7</v>
      </c>
      <c r="E11" s="149">
        <v>100000</v>
      </c>
      <c r="F11" s="148" t="s">
        <v>7</v>
      </c>
      <c r="G11" s="149">
        <v>271434.02</v>
      </c>
      <c r="H11" s="148" t="s">
        <v>4</v>
      </c>
      <c r="I11" s="148" t="s">
        <v>356</v>
      </c>
      <c r="J11" s="148" t="s">
        <v>356</v>
      </c>
      <c r="K11" s="148" t="s">
        <v>357</v>
      </c>
      <c r="L11" s="148" t="s">
        <v>356</v>
      </c>
      <c r="M11" s="66">
        <f t="shared" si="51"/>
        <v>42272</v>
      </c>
      <c r="N11" s="73"/>
      <c r="O11" s="24">
        <f>10505+23485+8282</f>
        <v>42272</v>
      </c>
      <c r="P11" s="24"/>
      <c r="Q11" s="24"/>
      <c r="R11" s="24"/>
      <c r="S11" s="86"/>
      <c r="T11" s="103"/>
      <c r="U11" s="73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>
        <v>1</v>
      </c>
      <c r="AH11" s="24"/>
      <c r="AI11" s="24">
        <v>1</v>
      </c>
      <c r="AJ11" s="24"/>
      <c r="AK11" s="24"/>
      <c r="AL11" s="24">
        <v>1</v>
      </c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74"/>
      <c r="BE11" s="73"/>
      <c r="BF11" s="24"/>
      <c r="BG11" s="24">
        <v>1</v>
      </c>
      <c r="BH11" s="24">
        <v>1</v>
      </c>
      <c r="BI11" s="86"/>
      <c r="BJ11" s="24"/>
      <c r="BK11" s="95"/>
      <c r="BL11" s="73"/>
      <c r="BM11" s="24"/>
      <c r="BN11" s="24"/>
      <c r="BO11" s="24"/>
      <c r="BP11" s="24"/>
      <c r="BQ11" s="24"/>
      <c r="BR11" s="24"/>
      <c r="BS11" s="24"/>
      <c r="BT11" s="74">
        <v>1</v>
      </c>
    </row>
    <row r="12" spans="1:72" s="25" customFormat="1" x14ac:dyDescent="0.25">
      <c r="A12" s="23">
        <v>35</v>
      </c>
      <c r="B12" s="21" t="s">
        <v>2</v>
      </c>
      <c r="C12" s="21" t="s">
        <v>12</v>
      </c>
      <c r="D12" s="148" t="s">
        <v>354</v>
      </c>
      <c r="E12" s="149">
        <v>500000</v>
      </c>
      <c r="F12" s="148" t="s">
        <v>355</v>
      </c>
      <c r="G12" s="149">
        <v>4500000</v>
      </c>
      <c r="H12" s="148" t="s">
        <v>4</v>
      </c>
      <c r="I12" s="148" t="s">
        <v>356</v>
      </c>
      <c r="J12" s="148" t="s">
        <v>356</v>
      </c>
      <c r="K12" s="148" t="s">
        <v>357</v>
      </c>
      <c r="L12" s="148" t="s">
        <v>356</v>
      </c>
      <c r="M12" s="66">
        <f t="shared" si="51"/>
        <v>1932890</v>
      </c>
      <c r="N12" s="73">
        <f>248616+273878+105366+67888+319236+62866+390422+243875+87495+124594</f>
        <v>1924236</v>
      </c>
      <c r="O12" s="24">
        <v>8654</v>
      </c>
      <c r="P12" s="24"/>
      <c r="Q12" s="24"/>
      <c r="R12" s="24"/>
      <c r="S12" s="86"/>
      <c r="T12" s="103">
        <v>8</v>
      </c>
      <c r="U12" s="73">
        <v>1</v>
      </c>
      <c r="V12" s="24">
        <v>1</v>
      </c>
      <c r="W12" s="24"/>
      <c r="X12" s="24"/>
      <c r="Y12" s="24">
        <v>1</v>
      </c>
      <c r="Z12" s="24">
        <v>1</v>
      </c>
      <c r="AA12" s="24">
        <v>1</v>
      </c>
      <c r="AB12" s="24">
        <v>1</v>
      </c>
      <c r="AC12" s="24">
        <v>1</v>
      </c>
      <c r="AD12" s="24">
        <v>1</v>
      </c>
      <c r="AE12" s="24">
        <v>1</v>
      </c>
      <c r="AF12" s="24">
        <v>1</v>
      </c>
      <c r="AG12" s="24">
        <v>1</v>
      </c>
      <c r="AH12" s="24">
        <v>1</v>
      </c>
      <c r="AI12" s="24">
        <v>1</v>
      </c>
      <c r="AJ12" s="24">
        <v>1</v>
      </c>
      <c r="AK12" s="24"/>
      <c r="AL12" s="24">
        <v>1</v>
      </c>
      <c r="AM12" s="24">
        <v>1</v>
      </c>
      <c r="AN12" s="24">
        <v>1</v>
      </c>
      <c r="AO12" s="24">
        <v>1</v>
      </c>
      <c r="AP12" s="24">
        <v>1</v>
      </c>
      <c r="AQ12" s="24">
        <v>1</v>
      </c>
      <c r="AR12" s="24">
        <v>1</v>
      </c>
      <c r="AS12" s="24"/>
      <c r="AT12" s="24"/>
      <c r="AU12" s="24"/>
      <c r="AV12" s="24"/>
      <c r="AW12" s="24"/>
      <c r="AX12" s="24"/>
      <c r="AY12" s="24"/>
      <c r="AZ12" s="24"/>
      <c r="BA12" s="24"/>
      <c r="BB12" s="24">
        <v>1</v>
      </c>
      <c r="BC12" s="24">
        <v>1</v>
      </c>
      <c r="BD12" s="74"/>
      <c r="BE12" s="73"/>
      <c r="BF12" s="24"/>
      <c r="BG12" s="24">
        <v>1</v>
      </c>
      <c r="BH12" s="24"/>
      <c r="BI12" s="86"/>
      <c r="BJ12" s="24"/>
      <c r="BK12" s="95"/>
      <c r="BL12" s="73">
        <v>1</v>
      </c>
      <c r="BM12" s="24"/>
      <c r="BN12" s="24"/>
      <c r="BO12" s="24"/>
      <c r="BP12" s="24"/>
      <c r="BQ12" s="24"/>
      <c r="BR12" s="24"/>
      <c r="BS12" s="24"/>
      <c r="BT12" s="74"/>
    </row>
    <row r="13" spans="1:72" s="25" customFormat="1" x14ac:dyDescent="0.25">
      <c r="A13" s="23">
        <v>36</v>
      </c>
      <c r="B13" s="21" t="s">
        <v>2</v>
      </c>
      <c r="C13" s="21" t="s">
        <v>13</v>
      </c>
      <c r="D13" s="148" t="s">
        <v>7</v>
      </c>
      <c r="E13" s="149">
        <v>100000</v>
      </c>
      <c r="F13" s="148" t="s">
        <v>7</v>
      </c>
      <c r="G13" s="149">
        <v>271434.02</v>
      </c>
      <c r="H13" s="148" t="s">
        <v>4</v>
      </c>
      <c r="I13" s="148" t="s">
        <v>356</v>
      </c>
      <c r="J13" s="148" t="s">
        <v>356</v>
      </c>
      <c r="K13" s="148" t="s">
        <v>357</v>
      </c>
      <c r="L13" s="148" t="s">
        <v>356</v>
      </c>
      <c r="M13" s="66">
        <f t="shared" si="51"/>
        <v>26922</v>
      </c>
      <c r="N13" s="73">
        <f>158+3862+501+131+78+695+120+115</f>
        <v>5660</v>
      </c>
      <c r="O13" s="24"/>
      <c r="P13" s="24">
        <f>14474+6580+208</f>
        <v>21262</v>
      </c>
      <c r="Q13" s="24"/>
      <c r="R13" s="24"/>
      <c r="S13" s="86"/>
      <c r="T13" s="103"/>
      <c r="U13" s="73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>
        <v>1</v>
      </c>
      <c r="AH13" s="24"/>
      <c r="AI13" s="24"/>
      <c r="AJ13" s="24"/>
      <c r="AK13" s="24"/>
      <c r="AL13" s="24">
        <v>1</v>
      </c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74"/>
      <c r="BE13" s="73"/>
      <c r="BF13" s="24"/>
      <c r="BG13" s="24">
        <v>1</v>
      </c>
      <c r="BH13" s="24">
        <v>1</v>
      </c>
      <c r="BI13" s="86"/>
      <c r="BJ13" s="24">
        <v>1</v>
      </c>
      <c r="BK13" s="95"/>
      <c r="BL13" s="73">
        <v>1</v>
      </c>
      <c r="BM13" s="24"/>
      <c r="BN13" s="24">
        <v>1</v>
      </c>
      <c r="BO13" s="24"/>
      <c r="BP13" s="24"/>
      <c r="BQ13" s="24"/>
      <c r="BR13" s="24">
        <v>1</v>
      </c>
      <c r="BS13" s="24">
        <v>1</v>
      </c>
      <c r="BT13" s="74"/>
    </row>
    <row r="14" spans="1:72" s="25" customFormat="1" x14ac:dyDescent="0.25">
      <c r="A14" s="23">
        <v>38</v>
      </c>
      <c r="B14" s="21" t="s">
        <v>2</v>
      </c>
      <c r="C14" s="21" t="s">
        <v>14</v>
      </c>
      <c r="D14" s="148" t="s">
        <v>354</v>
      </c>
      <c r="E14" s="149">
        <v>500000</v>
      </c>
      <c r="F14" s="148" t="s">
        <v>7</v>
      </c>
      <c r="G14" s="149">
        <v>200000</v>
      </c>
      <c r="H14" s="148" t="s">
        <v>4</v>
      </c>
      <c r="I14" s="148" t="s">
        <v>356</v>
      </c>
      <c r="J14" s="148" t="s">
        <v>357</v>
      </c>
      <c r="K14" s="148" t="s">
        <v>357</v>
      </c>
      <c r="L14" s="148" t="s">
        <v>356</v>
      </c>
      <c r="M14" s="66">
        <f t="shared" si="51"/>
        <v>462551</v>
      </c>
      <c r="N14" s="73">
        <f>398639+63912</f>
        <v>462551</v>
      </c>
      <c r="O14" s="24"/>
      <c r="P14" s="24"/>
      <c r="Q14" s="24"/>
      <c r="R14" s="24"/>
      <c r="S14" s="86"/>
      <c r="T14" s="103"/>
      <c r="U14" s="73"/>
      <c r="V14" s="24"/>
      <c r="W14" s="24"/>
      <c r="X14" s="24"/>
      <c r="Y14" s="24"/>
      <c r="Z14" s="24"/>
      <c r="AA14" s="24">
        <v>1</v>
      </c>
      <c r="AB14" s="24">
        <v>1</v>
      </c>
      <c r="AC14" s="24">
        <v>1</v>
      </c>
      <c r="AD14" s="24">
        <v>1</v>
      </c>
      <c r="AE14" s="24">
        <v>1</v>
      </c>
      <c r="AF14" s="24">
        <v>1</v>
      </c>
      <c r="AG14" s="24">
        <v>1</v>
      </c>
      <c r="AH14" s="24">
        <v>1</v>
      </c>
      <c r="AI14" s="24">
        <v>1</v>
      </c>
      <c r="AJ14" s="24">
        <v>1</v>
      </c>
      <c r="AK14" s="24">
        <v>1</v>
      </c>
      <c r="AL14" s="24">
        <v>1</v>
      </c>
      <c r="AM14" s="24">
        <v>1</v>
      </c>
      <c r="AN14" s="24">
        <v>1</v>
      </c>
      <c r="AO14" s="24">
        <v>1</v>
      </c>
      <c r="AP14" s="24">
        <v>1</v>
      </c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>
        <v>1</v>
      </c>
      <c r="BC14" s="24"/>
      <c r="BD14" s="74"/>
      <c r="BE14" s="73">
        <v>1</v>
      </c>
      <c r="BF14" s="24"/>
      <c r="BG14" s="24"/>
      <c r="BH14" s="24"/>
      <c r="BI14" s="86"/>
      <c r="BJ14" s="24"/>
      <c r="BK14" s="95"/>
      <c r="BL14" s="73">
        <v>1</v>
      </c>
      <c r="BM14" s="24"/>
      <c r="BN14" s="24"/>
      <c r="BO14" s="24"/>
      <c r="BP14" s="24"/>
      <c r="BQ14" s="24"/>
      <c r="BR14" s="24"/>
      <c r="BS14" s="24"/>
      <c r="BT14" s="74"/>
    </row>
    <row r="15" spans="1:72" s="25" customFormat="1" x14ac:dyDescent="0.25">
      <c r="A15" s="23">
        <v>39</v>
      </c>
      <c r="B15" s="21" t="s">
        <v>2</v>
      </c>
      <c r="C15" s="21" t="s">
        <v>15</v>
      </c>
      <c r="D15" s="148" t="s">
        <v>7</v>
      </c>
      <c r="E15" s="149">
        <v>300000</v>
      </c>
      <c r="F15" s="148"/>
      <c r="G15" s="148"/>
      <c r="H15" s="148" t="s">
        <v>4</v>
      </c>
      <c r="I15" s="148" t="s">
        <v>356</v>
      </c>
      <c r="J15" s="148" t="s">
        <v>356</v>
      </c>
      <c r="K15" s="148" t="s">
        <v>357</v>
      </c>
      <c r="L15" s="148" t="s">
        <v>357</v>
      </c>
      <c r="M15" s="66">
        <f t="shared" si="51"/>
        <v>0</v>
      </c>
      <c r="N15" s="73"/>
      <c r="O15" s="24"/>
      <c r="P15" s="24"/>
      <c r="Q15" s="24"/>
      <c r="R15" s="24"/>
      <c r="S15" s="86"/>
      <c r="T15" s="103"/>
      <c r="U15" s="73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74"/>
      <c r="BE15" s="73"/>
      <c r="BF15" s="24"/>
      <c r="BG15" s="24"/>
      <c r="BH15" s="24"/>
      <c r="BI15" s="86"/>
      <c r="BJ15" s="24"/>
      <c r="BK15" s="95">
        <v>1</v>
      </c>
      <c r="BL15" s="73"/>
      <c r="BM15" s="24"/>
      <c r="BN15" s="24"/>
      <c r="BO15" s="24"/>
      <c r="BP15" s="24"/>
      <c r="BQ15" s="24"/>
      <c r="BR15" s="24"/>
      <c r="BS15" s="24"/>
      <c r="BT15" s="74">
        <v>1</v>
      </c>
    </row>
    <row r="16" spans="1:72" s="25" customFormat="1" x14ac:dyDescent="0.25">
      <c r="A16" s="23">
        <v>40</v>
      </c>
      <c r="B16" s="21" t="s">
        <v>2</v>
      </c>
      <c r="C16" s="21" t="s">
        <v>16</v>
      </c>
      <c r="D16" s="148" t="s">
        <v>354</v>
      </c>
      <c r="E16" s="149">
        <v>500000</v>
      </c>
      <c r="F16" s="148" t="s">
        <v>354</v>
      </c>
      <c r="G16" s="149">
        <v>2500000</v>
      </c>
      <c r="H16" s="148" t="s">
        <v>4</v>
      </c>
      <c r="I16" s="148" t="s">
        <v>356</v>
      </c>
      <c r="J16" s="148" t="s">
        <v>357</v>
      </c>
      <c r="K16" s="148" t="s">
        <v>357</v>
      </c>
      <c r="L16" s="148" t="s">
        <v>356</v>
      </c>
      <c r="M16" s="66">
        <f t="shared" si="51"/>
        <v>0</v>
      </c>
      <c r="N16" s="73"/>
      <c r="O16" s="24"/>
      <c r="P16" s="24"/>
      <c r="Q16" s="24"/>
      <c r="R16" s="24"/>
      <c r="S16" s="86"/>
      <c r="T16" s="103"/>
      <c r="U16" s="73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74"/>
      <c r="BE16" s="73"/>
      <c r="BF16" s="24"/>
      <c r="BG16" s="24">
        <v>1</v>
      </c>
      <c r="BH16" s="24"/>
      <c r="BI16" s="86"/>
      <c r="BJ16" s="24"/>
      <c r="BK16" s="95"/>
      <c r="BL16" s="73"/>
      <c r="BM16" s="24">
        <v>1</v>
      </c>
      <c r="BN16" s="24">
        <v>1</v>
      </c>
      <c r="BO16" s="24"/>
      <c r="BP16" s="24"/>
      <c r="BQ16" s="24"/>
      <c r="BR16" s="24"/>
      <c r="BS16" s="24"/>
      <c r="BT16" s="74"/>
    </row>
    <row r="17" spans="1:72" s="25" customFormat="1" x14ac:dyDescent="0.25">
      <c r="A17" s="23">
        <v>41</v>
      </c>
      <c r="B17" s="21" t="s">
        <v>2</v>
      </c>
      <c r="C17" s="21" t="s">
        <v>17</v>
      </c>
      <c r="D17" s="148" t="s">
        <v>354</v>
      </c>
      <c r="E17" s="149">
        <v>500000</v>
      </c>
      <c r="F17" s="148" t="s">
        <v>354</v>
      </c>
      <c r="G17" s="149">
        <v>2500000</v>
      </c>
      <c r="H17" s="148" t="s">
        <v>4</v>
      </c>
      <c r="I17" s="148" t="s">
        <v>356</v>
      </c>
      <c r="J17" s="148" t="s">
        <v>356</v>
      </c>
      <c r="K17" s="148" t="s">
        <v>357</v>
      </c>
      <c r="L17" s="148" t="s">
        <v>356</v>
      </c>
      <c r="M17" s="66">
        <f t="shared" si="51"/>
        <v>400980.1</v>
      </c>
      <c r="N17" s="73"/>
      <c r="O17" s="24"/>
      <c r="P17" s="24">
        <v>400980.1</v>
      </c>
      <c r="Q17" s="24"/>
      <c r="R17" s="24"/>
      <c r="S17" s="86"/>
      <c r="T17" s="103">
        <v>8</v>
      </c>
      <c r="U17" s="73">
        <v>1</v>
      </c>
      <c r="V17" s="24"/>
      <c r="W17" s="24"/>
      <c r="X17" s="24"/>
      <c r="Y17" s="24"/>
      <c r="Z17" s="24"/>
      <c r="AA17" s="24"/>
      <c r="AB17" s="24"/>
      <c r="AC17" s="24">
        <v>1</v>
      </c>
      <c r="AD17" s="24">
        <v>1</v>
      </c>
      <c r="AE17" s="24">
        <v>1</v>
      </c>
      <c r="AF17" s="24">
        <v>1</v>
      </c>
      <c r="AG17" s="24">
        <v>1</v>
      </c>
      <c r="AH17" s="24"/>
      <c r="AI17" s="24"/>
      <c r="AJ17" s="24"/>
      <c r="AK17" s="24">
        <v>1</v>
      </c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74"/>
      <c r="BE17" s="73"/>
      <c r="BF17" s="24"/>
      <c r="BG17" s="24">
        <v>1</v>
      </c>
      <c r="BH17" s="24">
        <v>1</v>
      </c>
      <c r="BI17" s="86"/>
      <c r="BJ17" s="24"/>
      <c r="BK17" s="95"/>
      <c r="BL17" s="73"/>
      <c r="BM17" s="24"/>
      <c r="BN17" s="24"/>
      <c r="BO17" s="24"/>
      <c r="BP17" s="24"/>
      <c r="BQ17" s="24"/>
      <c r="BR17" s="24">
        <v>1</v>
      </c>
      <c r="BS17" s="24"/>
      <c r="BT17" s="74"/>
    </row>
    <row r="18" spans="1:72" s="25" customFormat="1" x14ac:dyDescent="0.25">
      <c r="A18" s="23">
        <v>52</v>
      </c>
      <c r="B18" s="21" t="s">
        <v>2</v>
      </c>
      <c r="C18" s="21" t="s">
        <v>18</v>
      </c>
      <c r="D18" s="148" t="s">
        <v>358</v>
      </c>
      <c r="E18" s="149">
        <v>2000000</v>
      </c>
      <c r="F18" s="148" t="s">
        <v>358</v>
      </c>
      <c r="G18" s="149">
        <v>7000000</v>
      </c>
      <c r="H18" s="148" t="s">
        <v>4</v>
      </c>
      <c r="I18" s="148" t="s">
        <v>356</v>
      </c>
      <c r="J18" s="148" t="s">
        <v>357</v>
      </c>
      <c r="K18" s="148" t="s">
        <v>357</v>
      </c>
      <c r="L18" s="148" t="s">
        <v>356</v>
      </c>
      <c r="M18" s="66">
        <f t="shared" si="51"/>
        <v>2668667.1329999999</v>
      </c>
      <c r="N18" s="73">
        <f>177122.74+27320.685+610613.936+32051.286+635662.812+108983.196+188018.826+117581.79+461204.36+148927.821+161179.681</f>
        <v>2668667.1329999999</v>
      </c>
      <c r="O18" s="24"/>
      <c r="P18" s="24"/>
      <c r="Q18" s="24"/>
      <c r="R18" s="24"/>
      <c r="S18" s="86"/>
      <c r="T18" s="103"/>
      <c r="U18" s="73"/>
      <c r="V18" s="24">
        <v>1</v>
      </c>
      <c r="W18" s="24"/>
      <c r="X18" s="24"/>
      <c r="Y18" s="24"/>
      <c r="Z18" s="24">
        <v>1</v>
      </c>
      <c r="AA18" s="24">
        <v>1</v>
      </c>
      <c r="AB18" s="24">
        <v>1</v>
      </c>
      <c r="AC18" s="24">
        <v>1</v>
      </c>
      <c r="AD18" s="24">
        <v>1</v>
      </c>
      <c r="AE18" s="24">
        <v>1</v>
      </c>
      <c r="AF18" s="24">
        <v>1</v>
      </c>
      <c r="AG18" s="24">
        <v>1</v>
      </c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74"/>
      <c r="BE18" s="73"/>
      <c r="BF18" s="24"/>
      <c r="BG18" s="24">
        <v>1</v>
      </c>
      <c r="BH18" s="24">
        <v>1</v>
      </c>
      <c r="BI18" s="86"/>
      <c r="BJ18" s="24"/>
      <c r="BK18" s="95"/>
      <c r="BL18" s="73">
        <v>1</v>
      </c>
      <c r="BM18" s="24">
        <v>1</v>
      </c>
      <c r="BN18" s="24"/>
      <c r="BO18" s="24"/>
      <c r="BP18" s="24"/>
      <c r="BQ18" s="24"/>
      <c r="BR18" s="24">
        <v>1</v>
      </c>
      <c r="BS18" s="24">
        <v>1</v>
      </c>
      <c r="BT18" s="74"/>
    </row>
    <row r="19" spans="1:72" s="25" customFormat="1" x14ac:dyDescent="0.25">
      <c r="A19" s="23">
        <v>56</v>
      </c>
      <c r="B19" s="21" t="s">
        <v>2</v>
      </c>
      <c r="C19" s="21" t="s">
        <v>19</v>
      </c>
      <c r="D19" s="148" t="s">
        <v>355</v>
      </c>
      <c r="E19" s="149">
        <v>1500000</v>
      </c>
      <c r="F19" s="148" t="s">
        <v>355</v>
      </c>
      <c r="G19" s="149">
        <v>4500000</v>
      </c>
      <c r="H19" s="148" t="s">
        <v>4</v>
      </c>
      <c r="I19" s="148" t="s">
        <v>356</v>
      </c>
      <c r="J19" s="148" t="s">
        <v>357</v>
      </c>
      <c r="K19" s="148" t="s">
        <v>357</v>
      </c>
      <c r="L19" s="148" t="s">
        <v>356</v>
      </c>
      <c r="M19" s="66">
        <f t="shared" si="51"/>
        <v>281155.14520999999</v>
      </c>
      <c r="N19" s="73">
        <f>79272.97+58492.40196+102801.08325</f>
        <v>240566.45521000001</v>
      </c>
      <c r="O19" s="24"/>
      <c r="P19" s="24">
        <v>40588.69</v>
      </c>
      <c r="Q19" s="24"/>
      <c r="R19" s="24"/>
      <c r="S19" s="86"/>
      <c r="T19" s="103">
        <v>8</v>
      </c>
      <c r="U19" s="73">
        <v>1</v>
      </c>
      <c r="V19" s="24">
        <v>1</v>
      </c>
      <c r="W19" s="24">
        <v>1</v>
      </c>
      <c r="X19" s="24"/>
      <c r="Y19" s="24">
        <v>1</v>
      </c>
      <c r="Z19" s="24">
        <v>1</v>
      </c>
      <c r="AA19" s="24">
        <v>1</v>
      </c>
      <c r="AB19" s="24">
        <v>1</v>
      </c>
      <c r="AC19" s="24">
        <v>1</v>
      </c>
      <c r="AD19" s="24"/>
      <c r="AE19" s="24">
        <v>1</v>
      </c>
      <c r="AF19" s="24">
        <v>1</v>
      </c>
      <c r="AG19" s="24">
        <v>1</v>
      </c>
      <c r="AH19" s="24">
        <v>1</v>
      </c>
      <c r="AI19" s="24">
        <v>1</v>
      </c>
      <c r="AJ19" s="24"/>
      <c r="AK19" s="24">
        <v>1</v>
      </c>
      <c r="AL19" s="24">
        <v>1</v>
      </c>
      <c r="AM19" s="24">
        <v>1</v>
      </c>
      <c r="AN19" s="24">
        <v>1</v>
      </c>
      <c r="AO19" s="24">
        <v>1</v>
      </c>
      <c r="AP19" s="24">
        <v>1</v>
      </c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>
        <v>1</v>
      </c>
      <c r="BD19" s="74"/>
      <c r="BE19" s="73"/>
      <c r="BF19" s="24"/>
      <c r="BG19" s="24">
        <v>1</v>
      </c>
      <c r="BH19" s="24">
        <v>1</v>
      </c>
      <c r="BI19" s="86"/>
      <c r="BJ19" s="24">
        <v>1</v>
      </c>
      <c r="BK19" s="95"/>
      <c r="BL19" s="73">
        <v>1</v>
      </c>
      <c r="BM19" s="24">
        <v>1</v>
      </c>
      <c r="BN19" s="24">
        <v>1</v>
      </c>
      <c r="BO19" s="24"/>
      <c r="BP19" s="24">
        <v>1</v>
      </c>
      <c r="BQ19" s="24"/>
      <c r="BR19" s="24">
        <v>1</v>
      </c>
      <c r="BS19" s="24">
        <v>1</v>
      </c>
      <c r="BT19" s="74"/>
    </row>
    <row r="20" spans="1:72" s="25" customFormat="1" x14ac:dyDescent="0.25">
      <c r="A20" s="23">
        <v>60</v>
      </c>
      <c r="B20" s="21" t="s">
        <v>2</v>
      </c>
      <c r="C20" s="21" t="s">
        <v>20</v>
      </c>
      <c r="D20" s="148" t="s">
        <v>354</v>
      </c>
      <c r="E20" s="149">
        <v>500000</v>
      </c>
      <c r="F20" s="148" t="s">
        <v>354</v>
      </c>
      <c r="G20" s="149">
        <v>2500000</v>
      </c>
      <c r="H20" s="148" t="s">
        <v>4</v>
      </c>
      <c r="I20" s="148" t="s">
        <v>356</v>
      </c>
      <c r="J20" s="148" t="s">
        <v>357</v>
      </c>
      <c r="K20" s="148" t="s">
        <v>357</v>
      </c>
      <c r="L20" s="148" t="s">
        <v>356</v>
      </c>
      <c r="M20" s="66">
        <f t="shared" si="51"/>
        <v>971274.3600000001</v>
      </c>
      <c r="N20" s="73">
        <f>276235.2+275516.2+358241.77+61281.19</f>
        <v>971274.3600000001</v>
      </c>
      <c r="O20" s="24"/>
      <c r="P20" s="24"/>
      <c r="Q20" s="24"/>
      <c r="R20" s="24"/>
      <c r="S20" s="86"/>
      <c r="T20" s="103">
        <v>8</v>
      </c>
      <c r="U20" s="73"/>
      <c r="V20" s="24"/>
      <c r="W20" s="24"/>
      <c r="X20" s="24"/>
      <c r="Y20" s="24"/>
      <c r="Z20" s="24"/>
      <c r="AA20" s="24">
        <v>1</v>
      </c>
      <c r="AB20" s="24">
        <v>1</v>
      </c>
      <c r="AC20" s="24">
        <v>1</v>
      </c>
      <c r="AD20" s="24">
        <v>1</v>
      </c>
      <c r="AE20" s="24">
        <v>1</v>
      </c>
      <c r="AF20" s="24">
        <v>1</v>
      </c>
      <c r="AG20" s="24">
        <v>1</v>
      </c>
      <c r="AH20" s="24">
        <v>1</v>
      </c>
      <c r="AI20" s="24">
        <v>1</v>
      </c>
      <c r="AJ20" s="24">
        <v>1</v>
      </c>
      <c r="AK20" s="24">
        <v>1</v>
      </c>
      <c r="AL20" s="24">
        <v>1</v>
      </c>
      <c r="AM20" s="24">
        <v>1</v>
      </c>
      <c r="AN20" s="24">
        <v>1</v>
      </c>
      <c r="AO20" s="24">
        <v>1</v>
      </c>
      <c r="AP20" s="24">
        <v>1</v>
      </c>
      <c r="AQ20" s="24"/>
      <c r="AR20" s="24">
        <v>1</v>
      </c>
      <c r="AS20" s="24"/>
      <c r="AT20" s="24"/>
      <c r="AU20" s="24"/>
      <c r="AV20" s="24"/>
      <c r="AW20" s="24"/>
      <c r="AX20" s="24"/>
      <c r="AY20" s="24"/>
      <c r="AZ20" s="24"/>
      <c r="BA20" s="24"/>
      <c r="BB20" s="24">
        <v>1</v>
      </c>
      <c r="BC20" s="24"/>
      <c r="BD20" s="74"/>
      <c r="BE20" s="73">
        <v>1</v>
      </c>
      <c r="BF20" s="24"/>
      <c r="BG20" s="24">
        <v>1</v>
      </c>
      <c r="BH20" s="24">
        <v>1</v>
      </c>
      <c r="BI20" s="86"/>
      <c r="BJ20" s="24"/>
      <c r="BK20" s="95"/>
      <c r="BL20" s="73">
        <v>1</v>
      </c>
      <c r="BM20" s="24">
        <v>1</v>
      </c>
      <c r="BN20" s="24"/>
      <c r="BO20" s="24"/>
      <c r="BP20" s="24"/>
      <c r="BQ20" s="24"/>
      <c r="BR20" s="24"/>
      <c r="BS20" s="24"/>
      <c r="BT20" s="74"/>
    </row>
    <row r="21" spans="1:72" s="25" customFormat="1" x14ac:dyDescent="0.25">
      <c r="A21" s="23">
        <v>69</v>
      </c>
      <c r="B21" s="21" t="s">
        <v>2</v>
      </c>
      <c r="C21" s="21" t="s">
        <v>21</v>
      </c>
      <c r="D21" s="148" t="s">
        <v>7</v>
      </c>
      <c r="E21" s="149">
        <v>100000</v>
      </c>
      <c r="F21" s="148" t="s">
        <v>7</v>
      </c>
      <c r="G21" s="149">
        <v>519056.7</v>
      </c>
      <c r="H21" s="148" t="s">
        <v>4</v>
      </c>
      <c r="I21" s="148" t="s">
        <v>356</v>
      </c>
      <c r="J21" s="148" t="s">
        <v>356</v>
      </c>
      <c r="K21" s="148" t="s">
        <v>357</v>
      </c>
      <c r="L21" s="148" t="s">
        <v>356</v>
      </c>
      <c r="M21" s="66">
        <f t="shared" si="51"/>
        <v>46598</v>
      </c>
      <c r="N21" s="73"/>
      <c r="O21" s="24"/>
      <c r="P21" s="24"/>
      <c r="Q21" s="24"/>
      <c r="R21" s="24"/>
      <c r="S21" s="86">
        <f>46598</f>
        <v>46598</v>
      </c>
      <c r="T21" s="103">
        <v>8</v>
      </c>
      <c r="U21" s="73"/>
      <c r="V21" s="24"/>
      <c r="W21" s="24"/>
      <c r="X21" s="24"/>
      <c r="Y21" s="24"/>
      <c r="Z21" s="24"/>
      <c r="AA21" s="24"/>
      <c r="AB21" s="24"/>
      <c r="AC21" s="24"/>
      <c r="AD21" s="24"/>
      <c r="AE21" s="24">
        <v>1</v>
      </c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74"/>
      <c r="BE21" s="73"/>
      <c r="BF21" s="24"/>
      <c r="BG21" s="24"/>
      <c r="BH21" s="24"/>
      <c r="BI21" s="86"/>
      <c r="BJ21" s="24">
        <v>1</v>
      </c>
      <c r="BK21" s="95"/>
      <c r="BL21" s="73"/>
      <c r="BM21" s="24"/>
      <c r="BN21" s="24"/>
      <c r="BO21" s="24"/>
      <c r="BP21" s="24"/>
      <c r="BQ21" s="24"/>
      <c r="BR21" s="24">
        <v>1</v>
      </c>
      <c r="BS21" s="24"/>
      <c r="BT21" s="74"/>
    </row>
    <row r="22" spans="1:72" s="25" customFormat="1" x14ac:dyDescent="0.25">
      <c r="A22" s="23">
        <v>76</v>
      </c>
      <c r="B22" s="21" t="s">
        <v>2</v>
      </c>
      <c r="C22" s="21" t="s">
        <v>22</v>
      </c>
      <c r="D22" s="148" t="s">
        <v>354</v>
      </c>
      <c r="E22" s="149">
        <v>800000</v>
      </c>
      <c r="F22" s="148" t="s">
        <v>7</v>
      </c>
      <c r="G22" s="149">
        <v>438113.4</v>
      </c>
      <c r="H22" s="148" t="s">
        <v>4</v>
      </c>
      <c r="I22" s="148" t="s">
        <v>356</v>
      </c>
      <c r="J22" s="148" t="s">
        <v>356</v>
      </c>
      <c r="K22" s="148" t="s">
        <v>357</v>
      </c>
      <c r="L22" s="148" t="s">
        <v>356</v>
      </c>
      <c r="M22" s="66">
        <f t="shared" si="51"/>
        <v>0</v>
      </c>
      <c r="N22" s="73"/>
      <c r="O22" s="24"/>
      <c r="P22" s="24"/>
      <c r="Q22" s="24"/>
      <c r="R22" s="24"/>
      <c r="S22" s="86"/>
      <c r="T22" s="103">
        <v>8</v>
      </c>
      <c r="U22" s="73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74"/>
      <c r="BE22" s="73"/>
      <c r="BF22" s="24"/>
      <c r="BG22" s="24">
        <v>1</v>
      </c>
      <c r="BH22" s="24">
        <v>1</v>
      </c>
      <c r="BI22" s="86"/>
      <c r="BJ22" s="24"/>
      <c r="BK22" s="95"/>
      <c r="BL22" s="73"/>
      <c r="BM22" s="24"/>
      <c r="BN22" s="24"/>
      <c r="BO22" s="24"/>
      <c r="BP22" s="24">
        <v>1</v>
      </c>
      <c r="BQ22" s="24"/>
      <c r="BR22" s="24">
        <v>1</v>
      </c>
      <c r="BS22" s="24"/>
      <c r="BT22" s="74"/>
    </row>
    <row r="23" spans="1:72" s="25" customFormat="1" x14ac:dyDescent="0.25">
      <c r="A23" s="23">
        <v>77</v>
      </c>
      <c r="B23" s="21" t="s">
        <v>2</v>
      </c>
      <c r="C23" s="21" t="s">
        <v>23</v>
      </c>
      <c r="D23" s="148" t="s">
        <v>7</v>
      </c>
      <c r="E23" s="149">
        <v>300000</v>
      </c>
      <c r="F23" s="148"/>
      <c r="G23" s="148"/>
      <c r="H23" s="148" t="s">
        <v>4</v>
      </c>
      <c r="I23" s="148" t="s">
        <v>356</v>
      </c>
      <c r="J23" s="148" t="s">
        <v>357</v>
      </c>
      <c r="K23" s="148" t="s">
        <v>357</v>
      </c>
      <c r="L23" s="148" t="s">
        <v>357</v>
      </c>
      <c r="M23" s="66">
        <f t="shared" si="51"/>
        <v>3281</v>
      </c>
      <c r="N23" s="73">
        <v>3281</v>
      </c>
      <c r="O23" s="24"/>
      <c r="P23" s="24"/>
      <c r="Q23" s="24"/>
      <c r="R23" s="24"/>
      <c r="S23" s="86"/>
      <c r="T23" s="103">
        <v>8</v>
      </c>
      <c r="U23" s="73"/>
      <c r="V23" s="24"/>
      <c r="W23" s="24"/>
      <c r="X23" s="24"/>
      <c r="Y23" s="24"/>
      <c r="Z23" s="24"/>
      <c r="AA23" s="24"/>
      <c r="AB23" s="24"/>
      <c r="AC23" s="24">
        <v>1</v>
      </c>
      <c r="AD23" s="24"/>
      <c r="AE23" s="24">
        <v>1</v>
      </c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74"/>
      <c r="BE23" s="73"/>
      <c r="BF23" s="24"/>
      <c r="BG23" s="24">
        <v>1</v>
      </c>
      <c r="BH23" s="24">
        <v>1</v>
      </c>
      <c r="BI23" s="86"/>
      <c r="BJ23" s="24"/>
      <c r="BK23" s="95"/>
      <c r="BL23" s="73">
        <v>1</v>
      </c>
      <c r="BM23" s="24"/>
      <c r="BN23" s="24"/>
      <c r="BO23" s="24"/>
      <c r="BP23" s="24"/>
      <c r="BQ23" s="24"/>
      <c r="BR23" s="24"/>
      <c r="BS23" s="24"/>
      <c r="BT23" s="74"/>
    </row>
    <row r="24" spans="1:72" s="25" customFormat="1" x14ac:dyDescent="0.25">
      <c r="A24" s="23">
        <v>79</v>
      </c>
      <c r="B24" s="21" t="s">
        <v>2</v>
      </c>
      <c r="C24" s="21" t="s">
        <v>24</v>
      </c>
      <c r="D24" s="148" t="s">
        <v>354</v>
      </c>
      <c r="E24" s="149">
        <v>500000</v>
      </c>
      <c r="F24" s="148" t="s">
        <v>7</v>
      </c>
      <c r="G24" s="149">
        <v>738113.4</v>
      </c>
      <c r="H24" s="148" t="s">
        <v>4</v>
      </c>
      <c r="I24" s="148" t="s">
        <v>356</v>
      </c>
      <c r="J24" s="148" t="s">
        <v>357</v>
      </c>
      <c r="K24" s="148" t="s">
        <v>357</v>
      </c>
      <c r="L24" s="148" t="s">
        <v>356</v>
      </c>
      <c r="M24" s="66">
        <f t="shared" si="51"/>
        <v>0</v>
      </c>
      <c r="N24" s="73"/>
      <c r="O24" s="24"/>
      <c r="P24" s="24"/>
      <c r="Q24" s="24"/>
      <c r="R24" s="24"/>
      <c r="S24" s="86"/>
      <c r="T24" s="103">
        <v>8</v>
      </c>
      <c r="U24" s="73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74"/>
      <c r="BE24" s="73"/>
      <c r="BF24" s="24"/>
      <c r="BG24" s="24"/>
      <c r="BH24" s="24"/>
      <c r="BI24" s="86"/>
      <c r="BJ24" s="24"/>
      <c r="BK24" s="95">
        <v>1</v>
      </c>
      <c r="BL24" s="73"/>
      <c r="BM24" s="24"/>
      <c r="BN24" s="24"/>
      <c r="BO24" s="24"/>
      <c r="BP24" s="24"/>
      <c r="BQ24" s="24"/>
      <c r="BR24" s="24"/>
      <c r="BS24" s="24"/>
      <c r="BT24" s="74">
        <v>1</v>
      </c>
    </row>
    <row r="25" spans="1:72" s="25" customFormat="1" x14ac:dyDescent="0.25">
      <c r="A25" s="23">
        <v>85</v>
      </c>
      <c r="B25" s="21" t="s">
        <v>2</v>
      </c>
      <c r="C25" s="21" t="s">
        <v>25</v>
      </c>
      <c r="D25" s="148" t="s">
        <v>7</v>
      </c>
      <c r="E25" s="149">
        <v>100000</v>
      </c>
      <c r="F25" s="148" t="s">
        <v>7</v>
      </c>
      <c r="G25" s="149">
        <v>271434.02</v>
      </c>
      <c r="H25" s="148" t="s">
        <v>4</v>
      </c>
      <c r="I25" s="148" t="s">
        <v>356</v>
      </c>
      <c r="J25" s="148" t="s">
        <v>356</v>
      </c>
      <c r="K25" s="148" t="s">
        <v>357</v>
      </c>
      <c r="L25" s="148" t="s">
        <v>356</v>
      </c>
      <c r="M25" s="66">
        <f t="shared" si="51"/>
        <v>6061.96</v>
      </c>
      <c r="N25" s="73">
        <f>1107.65</f>
        <v>1107.6500000000001</v>
      </c>
      <c r="O25" s="24">
        <f>931.48+3123.79</f>
        <v>4055.27</v>
      </c>
      <c r="P25" s="24">
        <f>899.04</f>
        <v>899.04</v>
      </c>
      <c r="Q25" s="24"/>
      <c r="R25" s="24"/>
      <c r="S25" s="86"/>
      <c r="T25" s="103">
        <v>8</v>
      </c>
      <c r="U25" s="73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>
        <v>1</v>
      </c>
      <c r="AJ25" s="24"/>
      <c r="AK25" s="24"/>
      <c r="AL25" s="24">
        <v>1</v>
      </c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74"/>
      <c r="BE25" s="73"/>
      <c r="BF25" s="24"/>
      <c r="BG25" s="24"/>
      <c r="BH25" s="24"/>
      <c r="BI25" s="86"/>
      <c r="BJ25" s="24"/>
      <c r="BK25" s="95"/>
      <c r="BL25" s="73"/>
      <c r="BM25" s="24"/>
      <c r="BN25" s="24"/>
      <c r="BO25" s="24"/>
      <c r="BP25" s="24"/>
      <c r="BQ25" s="24"/>
      <c r="BR25" s="24"/>
      <c r="BS25" s="24"/>
      <c r="BT25" s="74"/>
    </row>
    <row r="26" spans="1:72" s="25" customFormat="1" x14ac:dyDescent="0.25">
      <c r="A26" s="23">
        <v>86</v>
      </c>
      <c r="B26" s="21" t="s">
        <v>2</v>
      </c>
      <c r="C26" s="21" t="s">
        <v>26</v>
      </c>
      <c r="D26" s="148" t="s">
        <v>355</v>
      </c>
      <c r="E26" s="149">
        <v>1500000</v>
      </c>
      <c r="F26" s="148" t="s">
        <v>355</v>
      </c>
      <c r="G26" s="149">
        <v>4500000</v>
      </c>
      <c r="H26" s="148" t="s">
        <v>4</v>
      </c>
      <c r="I26" s="148" t="s">
        <v>356</v>
      </c>
      <c r="J26" s="148" t="s">
        <v>357</v>
      </c>
      <c r="K26" s="148" t="s">
        <v>357</v>
      </c>
      <c r="L26" s="148" t="s">
        <v>356</v>
      </c>
      <c r="M26" s="66">
        <f t="shared" si="51"/>
        <v>225886.30184</v>
      </c>
      <c r="N26" s="73"/>
      <c r="O26" s="24">
        <f>50650.86981</f>
        <v>50650.869809999997</v>
      </c>
      <c r="P26" s="24">
        <f>17748.157+45612.18029+40551.85416+4490.85867+11141.26512+55341.11679+350</f>
        <v>175235.43203</v>
      </c>
      <c r="Q26" s="24"/>
      <c r="R26" s="24"/>
      <c r="S26" s="86"/>
      <c r="T26" s="103">
        <v>8</v>
      </c>
      <c r="U26" s="73">
        <v>1</v>
      </c>
      <c r="V26" s="24">
        <v>1</v>
      </c>
      <c r="W26" s="24"/>
      <c r="X26" s="24"/>
      <c r="Y26" s="24"/>
      <c r="Z26" s="24">
        <v>1</v>
      </c>
      <c r="AA26" s="24">
        <v>1</v>
      </c>
      <c r="AB26" s="24">
        <v>1</v>
      </c>
      <c r="AC26" s="24"/>
      <c r="AD26" s="24">
        <v>1</v>
      </c>
      <c r="AE26" s="24"/>
      <c r="AF26" s="24"/>
      <c r="AG26" s="24">
        <v>1</v>
      </c>
      <c r="AH26" s="24"/>
      <c r="AI26" s="24"/>
      <c r="AJ26" s="24">
        <v>1</v>
      </c>
      <c r="AK26" s="24"/>
      <c r="AL26" s="24">
        <v>1</v>
      </c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74"/>
      <c r="BE26" s="73"/>
      <c r="BF26" s="24"/>
      <c r="BG26" s="24">
        <v>1</v>
      </c>
      <c r="BH26" s="24">
        <v>1</v>
      </c>
      <c r="BI26" s="86"/>
      <c r="BJ26" s="24">
        <v>1</v>
      </c>
      <c r="BK26" s="95"/>
      <c r="BL26" s="73"/>
      <c r="BM26" s="24">
        <v>1</v>
      </c>
      <c r="BN26" s="24"/>
      <c r="BO26" s="24"/>
      <c r="BP26" s="24"/>
      <c r="BQ26" s="24"/>
      <c r="BR26" s="24">
        <v>1</v>
      </c>
      <c r="BS26" s="24">
        <v>1</v>
      </c>
      <c r="BT26" s="74"/>
    </row>
    <row r="27" spans="1:72" s="19" customFormat="1" x14ac:dyDescent="0.25">
      <c r="A27" s="15">
        <v>88</v>
      </c>
      <c r="B27" s="16" t="s">
        <v>2</v>
      </c>
      <c r="C27" s="16" t="s">
        <v>27</v>
      </c>
      <c r="D27" s="150" t="s">
        <v>7</v>
      </c>
      <c r="E27" s="151">
        <v>100000</v>
      </c>
      <c r="F27" s="150" t="s">
        <v>7</v>
      </c>
      <c r="G27" s="151">
        <v>200000</v>
      </c>
      <c r="H27" s="152" t="s">
        <v>4</v>
      </c>
      <c r="I27" s="150" t="s">
        <v>356</v>
      </c>
      <c r="J27" s="150" t="s">
        <v>357</v>
      </c>
      <c r="K27" s="150" t="s">
        <v>357</v>
      </c>
      <c r="L27" s="150" t="s">
        <v>356</v>
      </c>
      <c r="M27" s="65">
        <f t="shared" si="51"/>
        <v>0</v>
      </c>
      <c r="N27" s="71">
        <v>0</v>
      </c>
      <c r="O27" s="18"/>
      <c r="P27" s="18"/>
      <c r="Q27" s="18"/>
      <c r="R27" s="18"/>
      <c r="S27" s="85"/>
      <c r="T27" s="102"/>
      <c r="U27" s="71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72"/>
      <c r="BE27" s="71"/>
      <c r="BF27" s="18"/>
      <c r="BG27" s="18"/>
      <c r="BH27" s="18"/>
      <c r="BI27" s="85"/>
      <c r="BJ27" s="18"/>
      <c r="BK27" s="94"/>
      <c r="BL27" s="71"/>
      <c r="BM27" s="18"/>
      <c r="BN27" s="18"/>
      <c r="BO27" s="18"/>
      <c r="BP27" s="18"/>
      <c r="BQ27" s="18"/>
      <c r="BR27" s="18"/>
      <c r="BS27" s="18"/>
      <c r="BT27" s="72"/>
    </row>
    <row r="28" spans="1:72" s="25" customFormat="1" x14ac:dyDescent="0.25">
      <c r="A28" s="23">
        <v>101</v>
      </c>
      <c r="B28" s="21" t="s">
        <v>2</v>
      </c>
      <c r="C28" s="21" t="s">
        <v>28</v>
      </c>
      <c r="D28" s="148" t="s">
        <v>354</v>
      </c>
      <c r="E28" s="149">
        <v>500000</v>
      </c>
      <c r="F28" s="148" t="s">
        <v>354</v>
      </c>
      <c r="G28" s="149">
        <v>2500000</v>
      </c>
      <c r="H28" s="148" t="s">
        <v>4</v>
      </c>
      <c r="I28" s="148" t="s">
        <v>356</v>
      </c>
      <c r="J28" s="148" t="s">
        <v>357</v>
      </c>
      <c r="K28" s="148" t="s">
        <v>357</v>
      </c>
      <c r="L28" s="148" t="s">
        <v>356</v>
      </c>
      <c r="M28" s="66">
        <f t="shared" si="51"/>
        <v>140136.90171999999</v>
      </c>
      <c r="N28" s="73"/>
      <c r="O28" s="24"/>
      <c r="P28" s="24">
        <f>77098.90973+63037.99199</f>
        <v>140136.90171999999</v>
      </c>
      <c r="Q28" s="24"/>
      <c r="R28" s="24"/>
      <c r="S28" s="86"/>
      <c r="T28" s="103"/>
      <c r="U28" s="73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>
        <v>1</v>
      </c>
      <c r="AI28" s="24">
        <v>1</v>
      </c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74"/>
      <c r="BE28" s="73"/>
      <c r="BF28" s="24"/>
      <c r="BG28" s="24">
        <v>1</v>
      </c>
      <c r="BH28" s="24"/>
      <c r="BI28" s="86"/>
      <c r="BJ28" s="24">
        <v>1</v>
      </c>
      <c r="BK28" s="95"/>
      <c r="BL28" s="73">
        <v>1</v>
      </c>
      <c r="BM28" s="24">
        <v>1</v>
      </c>
      <c r="BN28" s="24">
        <v>1</v>
      </c>
      <c r="BO28" s="24"/>
      <c r="BP28" s="24"/>
      <c r="BQ28" s="24"/>
      <c r="BR28" s="24"/>
      <c r="BS28" s="24"/>
      <c r="BT28" s="74"/>
    </row>
    <row r="29" spans="1:72" s="25" customFormat="1" x14ac:dyDescent="0.25">
      <c r="A29" s="23">
        <v>102</v>
      </c>
      <c r="B29" s="21" t="s">
        <v>2</v>
      </c>
      <c r="C29" s="21" t="s">
        <v>29</v>
      </c>
      <c r="D29" s="148" t="s">
        <v>354</v>
      </c>
      <c r="E29" s="149">
        <v>800000</v>
      </c>
      <c r="F29" s="148" t="s">
        <v>7</v>
      </c>
      <c r="G29" s="149">
        <v>438113.4</v>
      </c>
      <c r="H29" s="148" t="s">
        <v>4</v>
      </c>
      <c r="I29" s="148" t="s">
        <v>356</v>
      </c>
      <c r="J29" s="148" t="s">
        <v>357</v>
      </c>
      <c r="K29" s="148" t="s">
        <v>357</v>
      </c>
      <c r="L29" s="148" t="s">
        <v>356</v>
      </c>
      <c r="M29" s="66">
        <f t="shared" si="51"/>
        <v>0</v>
      </c>
      <c r="N29" s="73"/>
      <c r="O29" s="24"/>
      <c r="P29" s="24"/>
      <c r="Q29" s="24"/>
      <c r="R29" s="24"/>
      <c r="S29" s="86"/>
      <c r="T29" s="103">
        <v>8</v>
      </c>
      <c r="U29" s="73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74"/>
      <c r="BE29" s="73"/>
      <c r="BF29" s="24"/>
      <c r="BG29" s="24"/>
      <c r="BH29" s="24">
        <v>1</v>
      </c>
      <c r="BI29" s="86"/>
      <c r="BJ29" s="24"/>
      <c r="BK29" s="95"/>
      <c r="BL29" s="73"/>
      <c r="BM29" s="24"/>
      <c r="BN29" s="24"/>
      <c r="BO29" s="24"/>
      <c r="BP29" s="24"/>
      <c r="BQ29" s="24"/>
      <c r="BR29" s="24">
        <v>1</v>
      </c>
      <c r="BS29" s="24"/>
      <c r="BT29" s="74"/>
    </row>
    <row r="30" spans="1:72" s="25" customFormat="1" x14ac:dyDescent="0.25">
      <c r="A30" s="23">
        <v>103</v>
      </c>
      <c r="B30" s="21" t="s">
        <v>2</v>
      </c>
      <c r="C30" s="21" t="s">
        <v>30</v>
      </c>
      <c r="D30" s="148" t="s">
        <v>354</v>
      </c>
      <c r="E30" s="149">
        <v>500000</v>
      </c>
      <c r="F30" s="148" t="s">
        <v>354</v>
      </c>
      <c r="G30" s="149">
        <v>2500000</v>
      </c>
      <c r="H30" s="148" t="s">
        <v>4</v>
      </c>
      <c r="I30" s="148" t="s">
        <v>356</v>
      </c>
      <c r="J30" s="148" t="s">
        <v>356</v>
      </c>
      <c r="K30" s="148" t="s">
        <v>356</v>
      </c>
      <c r="L30" s="148" t="s">
        <v>356</v>
      </c>
      <c r="M30" s="66">
        <f t="shared" si="51"/>
        <v>0</v>
      </c>
      <c r="N30" s="73"/>
      <c r="O30" s="24"/>
      <c r="P30" s="24"/>
      <c r="Q30" s="24"/>
      <c r="R30" s="24"/>
      <c r="S30" s="86"/>
      <c r="T30" s="103"/>
      <c r="U30" s="73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74"/>
      <c r="BE30" s="73"/>
      <c r="BF30" s="24"/>
      <c r="BG30" s="24"/>
      <c r="BH30" s="24">
        <v>1</v>
      </c>
      <c r="BI30" s="86"/>
      <c r="BJ30" s="24">
        <v>1</v>
      </c>
      <c r="BK30" s="95"/>
      <c r="BL30" s="73"/>
      <c r="BM30" s="24">
        <v>1</v>
      </c>
      <c r="BN30" s="24">
        <v>1</v>
      </c>
      <c r="BO30" s="24"/>
      <c r="BP30" s="24">
        <v>1</v>
      </c>
      <c r="BQ30" s="24"/>
      <c r="BR30" s="24">
        <v>1</v>
      </c>
      <c r="BS30" s="24"/>
      <c r="BT30" s="74"/>
    </row>
    <row r="31" spans="1:72" s="25" customFormat="1" x14ac:dyDescent="0.25">
      <c r="A31" s="23">
        <v>104</v>
      </c>
      <c r="B31" s="21" t="s">
        <v>2</v>
      </c>
      <c r="C31" s="21" t="s">
        <v>31</v>
      </c>
      <c r="D31" s="148" t="s">
        <v>354</v>
      </c>
      <c r="E31" s="149">
        <v>500000</v>
      </c>
      <c r="F31" s="148" t="s">
        <v>7</v>
      </c>
      <c r="G31" s="149">
        <v>738113.4</v>
      </c>
      <c r="H31" s="148" t="s">
        <v>4</v>
      </c>
      <c r="I31" s="148" t="s">
        <v>356</v>
      </c>
      <c r="J31" s="148" t="s">
        <v>356</v>
      </c>
      <c r="K31" s="148" t="s">
        <v>356</v>
      </c>
      <c r="L31" s="148" t="s">
        <v>356</v>
      </c>
      <c r="M31" s="66">
        <f t="shared" si="51"/>
        <v>74881</v>
      </c>
      <c r="N31" s="73"/>
      <c r="O31" s="24"/>
      <c r="P31" s="24">
        <v>74881</v>
      </c>
      <c r="Q31" s="24"/>
      <c r="R31" s="24"/>
      <c r="S31" s="86"/>
      <c r="T31" s="103">
        <v>8</v>
      </c>
      <c r="U31" s="73">
        <v>1</v>
      </c>
      <c r="V31" s="24"/>
      <c r="W31" s="24"/>
      <c r="X31" s="24"/>
      <c r="Y31" s="24"/>
      <c r="Z31" s="24"/>
      <c r="AA31" s="24"/>
      <c r="AB31" s="24"/>
      <c r="AC31" s="24">
        <v>1</v>
      </c>
      <c r="AD31" s="24">
        <v>1</v>
      </c>
      <c r="AE31" s="24">
        <v>1</v>
      </c>
      <c r="AF31" s="24">
        <v>1</v>
      </c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74"/>
      <c r="BE31" s="73"/>
      <c r="BF31" s="24"/>
      <c r="BG31" s="24">
        <v>1</v>
      </c>
      <c r="BH31" s="24"/>
      <c r="BI31" s="86"/>
      <c r="BJ31" s="24">
        <v>1</v>
      </c>
      <c r="BK31" s="95"/>
      <c r="BL31" s="73"/>
      <c r="BM31" s="24"/>
      <c r="BN31" s="24"/>
      <c r="BO31" s="24"/>
      <c r="BP31" s="24"/>
      <c r="BQ31" s="24"/>
      <c r="BR31" s="24">
        <v>1</v>
      </c>
      <c r="BS31" s="24"/>
      <c r="BT31" s="74"/>
    </row>
    <row r="32" spans="1:72" s="25" customFormat="1" x14ac:dyDescent="0.25">
      <c r="A32" s="23">
        <v>106</v>
      </c>
      <c r="B32" s="21" t="s">
        <v>2</v>
      </c>
      <c r="C32" s="21" t="s">
        <v>32</v>
      </c>
      <c r="D32" s="148" t="s">
        <v>7</v>
      </c>
      <c r="E32" s="149">
        <v>100000</v>
      </c>
      <c r="F32" s="148" t="s">
        <v>7</v>
      </c>
      <c r="G32" s="149">
        <v>271434.02</v>
      </c>
      <c r="H32" s="148" t="s">
        <v>4</v>
      </c>
      <c r="I32" s="148" t="s">
        <v>356</v>
      </c>
      <c r="J32" s="148" t="s">
        <v>357</v>
      </c>
      <c r="K32" s="148" t="s">
        <v>357</v>
      </c>
      <c r="L32" s="148" t="s">
        <v>356</v>
      </c>
      <c r="M32" s="66">
        <f t="shared" si="51"/>
        <v>0</v>
      </c>
      <c r="N32" s="73"/>
      <c r="O32" s="24"/>
      <c r="P32" s="24"/>
      <c r="Q32" s="24"/>
      <c r="R32" s="24"/>
      <c r="S32" s="86"/>
      <c r="T32" s="103"/>
      <c r="U32" s="73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74"/>
      <c r="BE32" s="73"/>
      <c r="BF32" s="24"/>
      <c r="BG32" s="24"/>
      <c r="BH32" s="24">
        <v>1</v>
      </c>
      <c r="BI32" s="86"/>
      <c r="BJ32" s="24"/>
      <c r="BK32" s="95"/>
      <c r="BL32" s="73"/>
      <c r="BM32" s="24"/>
      <c r="BN32" s="24">
        <v>1</v>
      </c>
      <c r="BO32" s="24"/>
      <c r="BP32" s="24"/>
      <c r="BQ32" s="24"/>
      <c r="BR32" s="24"/>
      <c r="BS32" s="24"/>
      <c r="BT32" s="74"/>
    </row>
    <row r="33" spans="1:72" s="25" customFormat="1" x14ac:dyDescent="0.25">
      <c r="A33" s="23">
        <v>113</v>
      </c>
      <c r="B33" s="21" t="s">
        <v>2</v>
      </c>
      <c r="C33" s="21" t="s">
        <v>230</v>
      </c>
      <c r="D33" s="148" t="s">
        <v>354</v>
      </c>
      <c r="E33" s="149">
        <v>500000</v>
      </c>
      <c r="F33" s="148" t="s">
        <v>354</v>
      </c>
      <c r="G33" s="149">
        <v>2500000</v>
      </c>
      <c r="H33" s="148" t="s">
        <v>4</v>
      </c>
      <c r="I33" s="148" t="s">
        <v>356</v>
      </c>
      <c r="J33" s="148" t="s">
        <v>357</v>
      </c>
      <c r="K33" s="148" t="s">
        <v>357</v>
      </c>
      <c r="L33" s="148" t="s">
        <v>356</v>
      </c>
      <c r="M33" s="66">
        <f t="shared" si="51"/>
        <v>169471.63</v>
      </c>
      <c r="N33" s="73">
        <f>1776+748.4+1263.9</f>
        <v>3788.3</v>
      </c>
      <c r="O33" s="24">
        <f>25883.33+139800</f>
        <v>165683.33000000002</v>
      </c>
      <c r="P33" s="24"/>
      <c r="Q33" s="24"/>
      <c r="R33" s="24"/>
      <c r="S33" s="86"/>
      <c r="T33" s="103" t="s">
        <v>351</v>
      </c>
      <c r="U33" s="73"/>
      <c r="V33" s="24"/>
      <c r="W33" s="24"/>
      <c r="X33" s="24"/>
      <c r="Y33" s="24"/>
      <c r="Z33" s="24"/>
      <c r="AA33" s="24"/>
      <c r="AB33" s="24">
        <v>1</v>
      </c>
      <c r="AC33" s="24">
        <v>1</v>
      </c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>
        <v>1</v>
      </c>
      <c r="AZ33" s="24"/>
      <c r="BA33" s="24"/>
      <c r="BB33" s="24"/>
      <c r="BC33" s="24"/>
      <c r="BD33" s="74"/>
      <c r="BE33" s="73"/>
      <c r="BF33" s="24"/>
      <c r="BG33" s="24"/>
      <c r="BH33" s="24">
        <v>1</v>
      </c>
      <c r="BI33" s="86"/>
      <c r="BJ33" s="24">
        <v>1</v>
      </c>
      <c r="BK33" s="95"/>
      <c r="BL33" s="73"/>
      <c r="BM33" s="24"/>
      <c r="BN33" s="24"/>
      <c r="BO33" s="24"/>
      <c r="BP33" s="24"/>
      <c r="BQ33" s="24"/>
      <c r="BR33" s="24"/>
      <c r="BS33" s="24">
        <v>1</v>
      </c>
      <c r="BT33" s="74">
        <v>1</v>
      </c>
    </row>
    <row r="34" spans="1:72" s="25" customFormat="1" x14ac:dyDescent="0.25">
      <c r="A34" s="23">
        <v>132</v>
      </c>
      <c r="B34" s="21" t="s">
        <v>2</v>
      </c>
      <c r="C34" s="21" t="s">
        <v>231</v>
      </c>
      <c r="D34" s="148" t="s">
        <v>7</v>
      </c>
      <c r="E34" s="149">
        <v>100000</v>
      </c>
      <c r="F34" s="148" t="s">
        <v>7</v>
      </c>
      <c r="G34" s="149">
        <v>271434.02</v>
      </c>
      <c r="H34" s="148" t="s">
        <v>4</v>
      </c>
      <c r="I34" s="148" t="s">
        <v>356</v>
      </c>
      <c r="J34" s="148" t="s">
        <v>357</v>
      </c>
      <c r="K34" s="148" t="s">
        <v>357</v>
      </c>
      <c r="L34" s="148" t="s">
        <v>356</v>
      </c>
      <c r="M34" s="66">
        <f t="shared" si="51"/>
        <v>0</v>
      </c>
      <c r="N34" s="73"/>
      <c r="O34" s="24"/>
      <c r="P34" s="24"/>
      <c r="Q34" s="24"/>
      <c r="R34" s="24"/>
      <c r="S34" s="86"/>
      <c r="T34" s="103"/>
      <c r="U34" s="73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74"/>
      <c r="BE34" s="73"/>
      <c r="BF34" s="24"/>
      <c r="BG34" s="24"/>
      <c r="BH34" s="24">
        <v>1</v>
      </c>
      <c r="BI34" s="86"/>
      <c r="BJ34" s="24"/>
      <c r="BK34" s="95"/>
      <c r="BL34" s="73"/>
      <c r="BM34" s="24"/>
      <c r="BN34" s="24">
        <v>1</v>
      </c>
      <c r="BO34" s="24"/>
      <c r="BP34" s="24"/>
      <c r="BQ34" s="24"/>
      <c r="BR34" s="24"/>
      <c r="BS34" s="24"/>
      <c r="BT34" s="74"/>
    </row>
    <row r="35" spans="1:72" s="25" customFormat="1" x14ac:dyDescent="0.25">
      <c r="A35" s="23">
        <v>134</v>
      </c>
      <c r="B35" s="21" t="s">
        <v>2</v>
      </c>
      <c r="C35" s="21" t="s">
        <v>33</v>
      </c>
      <c r="D35" s="148" t="s">
        <v>7</v>
      </c>
      <c r="E35" s="149">
        <v>100000</v>
      </c>
      <c r="F35" s="148" t="s">
        <v>7</v>
      </c>
      <c r="G35" s="149">
        <v>271434.02</v>
      </c>
      <c r="H35" s="148" t="s">
        <v>4</v>
      </c>
      <c r="I35" s="148" t="s">
        <v>356</v>
      </c>
      <c r="J35" s="148" t="s">
        <v>357</v>
      </c>
      <c r="K35" s="148" t="s">
        <v>357</v>
      </c>
      <c r="L35" s="148" t="s">
        <v>356</v>
      </c>
      <c r="M35" s="66">
        <f t="shared" si="51"/>
        <v>150923.59100000001</v>
      </c>
      <c r="N35" s="73">
        <f>20367.492+4380.721+55960.194+68402.972+108.607+1134.852+568.753</f>
        <v>150923.59100000001</v>
      </c>
      <c r="O35" s="24"/>
      <c r="P35" s="24"/>
      <c r="Q35" s="24"/>
      <c r="R35" s="24"/>
      <c r="S35" s="86"/>
      <c r="T35" s="103"/>
      <c r="U35" s="73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>
        <v>1</v>
      </c>
      <c r="AH35" s="24"/>
      <c r="AI35" s="24"/>
      <c r="AJ35" s="24"/>
      <c r="AK35" s="24"/>
      <c r="AL35" s="24"/>
      <c r="AM35" s="24">
        <v>1</v>
      </c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74"/>
      <c r="BE35" s="73"/>
      <c r="BF35" s="24"/>
      <c r="BG35" s="24"/>
      <c r="BH35" s="24">
        <v>1</v>
      </c>
      <c r="BI35" s="86"/>
      <c r="BJ35" s="24"/>
      <c r="BK35" s="95"/>
      <c r="BL35" s="73">
        <v>1</v>
      </c>
      <c r="BM35" s="24"/>
      <c r="BN35" s="24"/>
      <c r="BO35" s="24"/>
      <c r="BP35" s="24"/>
      <c r="BQ35" s="24"/>
      <c r="BR35" s="24"/>
      <c r="BS35" s="24"/>
      <c r="BT35" s="74"/>
    </row>
    <row r="36" spans="1:72" s="25" customFormat="1" x14ac:dyDescent="0.25">
      <c r="A36" s="23">
        <v>137</v>
      </c>
      <c r="B36" s="21" t="s">
        <v>2</v>
      </c>
      <c r="C36" s="21" t="s">
        <v>34</v>
      </c>
      <c r="D36" s="148" t="s">
        <v>7</v>
      </c>
      <c r="E36" s="149">
        <v>100000</v>
      </c>
      <c r="F36" s="148" t="s">
        <v>7</v>
      </c>
      <c r="G36" s="149">
        <v>271434.02</v>
      </c>
      <c r="H36" s="148" t="s">
        <v>4</v>
      </c>
      <c r="I36" s="148" t="s">
        <v>356</v>
      </c>
      <c r="J36" s="148" t="s">
        <v>357</v>
      </c>
      <c r="K36" s="148" t="s">
        <v>357</v>
      </c>
      <c r="L36" s="148" t="s">
        <v>356</v>
      </c>
      <c r="M36" s="66">
        <f t="shared" si="51"/>
        <v>12197</v>
      </c>
      <c r="N36" s="73"/>
      <c r="O36" s="24">
        <f>5452+4625+1231+345+521+23</f>
        <v>12197</v>
      </c>
      <c r="P36" s="24"/>
      <c r="Q36" s="24"/>
      <c r="R36" s="24"/>
      <c r="S36" s="86"/>
      <c r="T36" s="103"/>
      <c r="U36" s="73"/>
      <c r="V36" s="24"/>
      <c r="W36" s="24"/>
      <c r="X36" s="24"/>
      <c r="Y36" s="24"/>
      <c r="Z36" s="24"/>
      <c r="AA36" s="24"/>
      <c r="AB36" s="24"/>
      <c r="AC36" s="24">
        <v>1</v>
      </c>
      <c r="AD36" s="24">
        <v>1</v>
      </c>
      <c r="AE36" s="24">
        <v>1</v>
      </c>
      <c r="AF36" s="24">
        <v>1</v>
      </c>
      <c r="AG36" s="24">
        <v>1</v>
      </c>
      <c r="AH36" s="24">
        <v>1</v>
      </c>
      <c r="AI36" s="24"/>
      <c r="AJ36" s="24"/>
      <c r="AK36" s="24"/>
      <c r="AL36" s="24"/>
      <c r="AM36" s="24"/>
      <c r="AN36" s="24">
        <v>1</v>
      </c>
      <c r="AO36" s="24">
        <v>1</v>
      </c>
      <c r="AP36" s="24">
        <v>1</v>
      </c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74"/>
      <c r="BE36" s="73">
        <v>1</v>
      </c>
      <c r="BF36" s="24"/>
      <c r="BG36" s="24"/>
      <c r="BH36" s="24"/>
      <c r="BI36" s="86"/>
      <c r="BJ36" s="24">
        <v>1</v>
      </c>
      <c r="BK36" s="95"/>
      <c r="BL36" s="73"/>
      <c r="BM36" s="24"/>
      <c r="BN36" s="24"/>
      <c r="BO36" s="24"/>
      <c r="BP36" s="24"/>
      <c r="BQ36" s="24"/>
      <c r="BR36" s="24">
        <v>1</v>
      </c>
      <c r="BS36" s="24"/>
      <c r="BT36" s="74"/>
    </row>
    <row r="37" spans="1:72" s="25" customFormat="1" x14ac:dyDescent="0.25">
      <c r="A37" s="23">
        <v>142</v>
      </c>
      <c r="B37" s="21" t="s">
        <v>2</v>
      </c>
      <c r="C37" s="21" t="s">
        <v>349</v>
      </c>
      <c r="D37" s="148" t="s">
        <v>7</v>
      </c>
      <c r="E37" s="149">
        <v>100000</v>
      </c>
      <c r="F37" s="148" t="s">
        <v>7</v>
      </c>
      <c r="G37" s="149">
        <v>271434.02</v>
      </c>
      <c r="H37" s="148" t="s">
        <v>4</v>
      </c>
      <c r="I37" s="148" t="s">
        <v>356</v>
      </c>
      <c r="J37" s="148" t="s">
        <v>357</v>
      </c>
      <c r="K37" s="148" t="s">
        <v>357</v>
      </c>
      <c r="L37" s="148" t="s">
        <v>356</v>
      </c>
      <c r="M37" s="66">
        <f t="shared" si="51"/>
        <v>33125.133000000002</v>
      </c>
      <c r="N37" s="73">
        <f>5613.333+4953+4060.8+4770+5010+3998+4720</f>
        <v>33125.133000000002</v>
      </c>
      <c r="O37" s="24"/>
      <c r="P37" s="24"/>
      <c r="Q37" s="24"/>
      <c r="R37" s="24"/>
      <c r="S37" s="86"/>
      <c r="T37" s="103"/>
      <c r="U37" s="73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>
        <v>1</v>
      </c>
      <c r="AL37" s="24">
        <v>1</v>
      </c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74"/>
      <c r="BE37" s="73"/>
      <c r="BF37" s="24"/>
      <c r="BG37" s="24">
        <v>1</v>
      </c>
      <c r="BH37" s="24">
        <v>1</v>
      </c>
      <c r="BI37" s="86"/>
      <c r="BJ37" s="24"/>
      <c r="BK37" s="95"/>
      <c r="BL37" s="73"/>
      <c r="BM37" s="24"/>
      <c r="BN37" s="24">
        <v>1</v>
      </c>
      <c r="BO37" s="24"/>
      <c r="BP37" s="24"/>
      <c r="BQ37" s="24"/>
      <c r="BR37" s="24"/>
      <c r="BS37" s="24"/>
      <c r="BT37" s="74"/>
    </row>
    <row r="38" spans="1:72" s="25" customFormat="1" x14ac:dyDescent="0.25">
      <c r="A38" s="23">
        <v>149</v>
      </c>
      <c r="B38" s="21" t="s">
        <v>2</v>
      </c>
      <c r="C38" s="21" t="s">
        <v>35</v>
      </c>
      <c r="D38" s="148" t="s">
        <v>7</v>
      </c>
      <c r="E38" s="149">
        <v>100000</v>
      </c>
      <c r="F38" s="148" t="s">
        <v>7</v>
      </c>
      <c r="G38" s="149">
        <v>271434.02</v>
      </c>
      <c r="H38" s="148" t="s">
        <v>4</v>
      </c>
      <c r="I38" s="148" t="s">
        <v>356</v>
      </c>
      <c r="J38" s="148" t="s">
        <v>356</v>
      </c>
      <c r="K38" s="148" t="s">
        <v>357</v>
      </c>
      <c r="L38" s="148" t="s">
        <v>356</v>
      </c>
      <c r="M38" s="66">
        <f t="shared" si="51"/>
        <v>219744</v>
      </c>
      <c r="N38" s="73">
        <f>19727+32485+5124+2722+17495+142191</f>
        <v>219744</v>
      </c>
      <c r="O38" s="24"/>
      <c r="P38" s="24"/>
      <c r="Q38" s="24"/>
      <c r="R38" s="24"/>
      <c r="S38" s="86"/>
      <c r="T38" s="103">
        <v>5.8</v>
      </c>
      <c r="U38" s="73"/>
      <c r="V38" s="24"/>
      <c r="W38" s="24"/>
      <c r="X38" s="24"/>
      <c r="Y38" s="24">
        <v>1</v>
      </c>
      <c r="Z38" s="24">
        <v>1</v>
      </c>
      <c r="AA38" s="24">
        <v>1</v>
      </c>
      <c r="AB38" s="24">
        <v>1</v>
      </c>
      <c r="AC38" s="24">
        <v>1</v>
      </c>
      <c r="AD38" s="24">
        <v>1</v>
      </c>
      <c r="AE38" s="24">
        <v>1</v>
      </c>
      <c r="AF38" s="24"/>
      <c r="AG38" s="24"/>
      <c r="AH38" s="24"/>
      <c r="AI38" s="24">
        <v>1</v>
      </c>
      <c r="AJ38" s="24"/>
      <c r="AK38" s="24"/>
      <c r="AL38" s="24"/>
      <c r="AM38" s="24"/>
      <c r="AN38" s="24"/>
      <c r="AO38" s="24">
        <v>1</v>
      </c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74"/>
      <c r="BE38" s="73"/>
      <c r="BF38" s="24"/>
      <c r="BG38" s="24"/>
      <c r="BH38" s="24">
        <v>1</v>
      </c>
      <c r="BI38" s="86"/>
      <c r="BJ38" s="24"/>
      <c r="BK38" s="95"/>
      <c r="BL38" s="73"/>
      <c r="BM38" s="24"/>
      <c r="BN38" s="24"/>
      <c r="BO38" s="24"/>
      <c r="BP38" s="24"/>
      <c r="BQ38" s="24"/>
      <c r="BR38" s="24">
        <v>1</v>
      </c>
      <c r="BS38" s="24"/>
      <c r="BT38" s="74"/>
    </row>
    <row r="39" spans="1:72" s="25" customFormat="1" x14ac:dyDescent="0.25">
      <c r="A39" s="23">
        <v>150</v>
      </c>
      <c r="B39" s="21" t="s">
        <v>2</v>
      </c>
      <c r="C39" s="21" t="s">
        <v>36</v>
      </c>
      <c r="D39" s="148" t="s">
        <v>354</v>
      </c>
      <c r="E39" s="149">
        <v>800000</v>
      </c>
      <c r="F39" s="148" t="s">
        <v>7</v>
      </c>
      <c r="G39" s="149">
        <v>438113.4</v>
      </c>
      <c r="H39" s="148" t="s">
        <v>4</v>
      </c>
      <c r="I39" s="148" t="s">
        <v>356</v>
      </c>
      <c r="J39" s="148" t="s">
        <v>356</v>
      </c>
      <c r="K39" s="148" t="s">
        <v>357</v>
      </c>
      <c r="L39" s="148" t="s">
        <v>356</v>
      </c>
      <c r="M39" s="66">
        <f t="shared" si="51"/>
        <v>681375.25</v>
      </c>
      <c r="N39" s="73">
        <v>681375.25</v>
      </c>
      <c r="O39" s="24"/>
      <c r="P39" s="24"/>
      <c r="Q39" s="24"/>
      <c r="R39" s="24"/>
      <c r="S39" s="86"/>
      <c r="T39" s="103">
        <v>8</v>
      </c>
      <c r="U39" s="73">
        <v>1</v>
      </c>
      <c r="V39" s="24">
        <v>1</v>
      </c>
      <c r="W39" s="24">
        <v>3</v>
      </c>
      <c r="X39" s="24"/>
      <c r="Y39" s="24"/>
      <c r="Z39" s="24">
        <v>1</v>
      </c>
      <c r="AA39" s="24">
        <v>1</v>
      </c>
      <c r="AB39" s="24">
        <v>1</v>
      </c>
      <c r="AC39" s="24">
        <v>1</v>
      </c>
      <c r="AD39" s="24">
        <v>1</v>
      </c>
      <c r="AE39" s="24">
        <v>1</v>
      </c>
      <c r="AF39" s="24">
        <v>1</v>
      </c>
      <c r="AG39" s="24">
        <v>1</v>
      </c>
      <c r="AH39" s="24">
        <v>1</v>
      </c>
      <c r="AI39" s="24"/>
      <c r="AJ39" s="24"/>
      <c r="AK39" s="24"/>
      <c r="AL39" s="24">
        <v>1</v>
      </c>
      <c r="AM39" s="24">
        <v>1</v>
      </c>
      <c r="AN39" s="24">
        <v>1</v>
      </c>
      <c r="AO39" s="24">
        <v>1</v>
      </c>
      <c r="AP39" s="24">
        <v>1</v>
      </c>
      <c r="AQ39" s="24"/>
      <c r="AR39" s="24">
        <v>1</v>
      </c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74"/>
      <c r="BE39" s="73">
        <v>1</v>
      </c>
      <c r="BF39" s="24">
        <v>1</v>
      </c>
      <c r="BG39" s="24"/>
      <c r="BH39" s="24"/>
      <c r="BI39" s="86"/>
      <c r="BJ39" s="24"/>
      <c r="BK39" s="95"/>
      <c r="BL39" s="73"/>
      <c r="BM39" s="24"/>
      <c r="BN39" s="24"/>
      <c r="BO39" s="24"/>
      <c r="BP39" s="24">
        <v>1</v>
      </c>
      <c r="BQ39" s="24"/>
      <c r="BR39" s="24">
        <v>1</v>
      </c>
      <c r="BS39" s="24"/>
      <c r="BT39" s="74"/>
    </row>
    <row r="40" spans="1:72" s="25" customFormat="1" x14ac:dyDescent="0.25">
      <c r="A40" s="23">
        <v>156</v>
      </c>
      <c r="B40" s="21" t="s">
        <v>2</v>
      </c>
      <c r="C40" s="21" t="s">
        <v>37</v>
      </c>
      <c r="D40" s="148" t="s">
        <v>7</v>
      </c>
      <c r="E40" s="149">
        <v>100000</v>
      </c>
      <c r="F40" s="148" t="s">
        <v>7</v>
      </c>
      <c r="G40" s="149">
        <v>271434.02</v>
      </c>
      <c r="H40" s="148" t="s">
        <v>4</v>
      </c>
      <c r="I40" s="148" t="s">
        <v>356</v>
      </c>
      <c r="J40" s="148" t="s">
        <v>357</v>
      </c>
      <c r="K40" s="148" t="s">
        <v>357</v>
      </c>
      <c r="L40" s="148" t="s">
        <v>356</v>
      </c>
      <c r="M40" s="66">
        <f t="shared" si="51"/>
        <v>0</v>
      </c>
      <c r="N40" s="73"/>
      <c r="O40" s="24"/>
      <c r="P40" s="24"/>
      <c r="Q40" s="24"/>
      <c r="R40" s="24"/>
      <c r="S40" s="86"/>
      <c r="T40" s="103"/>
      <c r="U40" s="73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74"/>
      <c r="BE40" s="73"/>
      <c r="BF40" s="24"/>
      <c r="BG40" s="24"/>
      <c r="BH40" s="24"/>
      <c r="BI40" s="86"/>
      <c r="BJ40" s="24">
        <v>1</v>
      </c>
      <c r="BK40" s="95"/>
      <c r="BL40" s="73"/>
      <c r="BM40" s="24"/>
      <c r="BN40" s="24"/>
      <c r="BO40" s="24"/>
      <c r="BP40" s="24"/>
      <c r="BQ40" s="24"/>
      <c r="BR40" s="24"/>
      <c r="BS40" s="24">
        <v>1</v>
      </c>
      <c r="BT40" s="74"/>
    </row>
    <row r="41" spans="1:72" s="142" customFormat="1" x14ac:dyDescent="0.25">
      <c r="A41" s="133">
        <v>159</v>
      </c>
      <c r="B41" s="134" t="s">
        <v>2</v>
      </c>
      <c r="C41" s="134" t="s">
        <v>38</v>
      </c>
      <c r="D41" s="154" t="s">
        <v>7</v>
      </c>
      <c r="E41" s="155">
        <v>100000</v>
      </c>
      <c r="F41" s="154" t="s">
        <v>7</v>
      </c>
      <c r="G41" s="155">
        <v>271434.02</v>
      </c>
      <c r="H41" s="154" t="s">
        <v>359</v>
      </c>
      <c r="I41" s="154" t="s">
        <v>356</v>
      </c>
      <c r="J41" s="154" t="s">
        <v>357</v>
      </c>
      <c r="K41" s="154" t="s">
        <v>357</v>
      </c>
      <c r="L41" s="154" t="s">
        <v>356</v>
      </c>
      <c r="M41" s="135">
        <f t="shared" si="51"/>
        <v>0</v>
      </c>
      <c r="N41" s="136"/>
      <c r="O41" s="137"/>
      <c r="P41" s="137"/>
      <c r="Q41" s="137"/>
      <c r="R41" s="137"/>
      <c r="S41" s="138"/>
      <c r="T41" s="139"/>
      <c r="U41" s="136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40"/>
      <c r="BE41" s="136">
        <v>1</v>
      </c>
      <c r="BF41" s="137">
        <v>1</v>
      </c>
      <c r="BG41" s="137">
        <v>1</v>
      </c>
      <c r="BH41" s="137">
        <v>1</v>
      </c>
      <c r="BI41" s="138"/>
      <c r="BJ41" s="137"/>
      <c r="BK41" s="141"/>
      <c r="BL41" s="136">
        <v>1</v>
      </c>
      <c r="BM41" s="137">
        <v>1</v>
      </c>
      <c r="BN41" s="137"/>
      <c r="BO41" s="137"/>
      <c r="BP41" s="137">
        <v>1</v>
      </c>
      <c r="BQ41" s="137"/>
      <c r="BR41" s="137">
        <v>1</v>
      </c>
      <c r="BS41" s="137"/>
      <c r="BT41" s="140"/>
    </row>
    <row r="42" spans="1:72" s="25" customFormat="1" x14ac:dyDescent="0.25">
      <c r="A42" s="23">
        <v>162</v>
      </c>
      <c r="B42" s="21" t="s">
        <v>2</v>
      </c>
      <c r="C42" s="21" t="s">
        <v>39</v>
      </c>
      <c r="D42" s="148" t="s">
        <v>354</v>
      </c>
      <c r="E42" s="149">
        <v>500000</v>
      </c>
      <c r="F42" s="148" t="s">
        <v>7</v>
      </c>
      <c r="G42" s="149">
        <v>271434.02</v>
      </c>
      <c r="H42" s="148" t="s">
        <v>4</v>
      </c>
      <c r="I42" s="148" t="s">
        <v>356</v>
      </c>
      <c r="J42" s="148" t="s">
        <v>356</v>
      </c>
      <c r="K42" s="148" t="s">
        <v>357</v>
      </c>
      <c r="L42" s="148" t="s">
        <v>356</v>
      </c>
      <c r="M42" s="66">
        <f t="shared" si="51"/>
        <v>105460.06926999999</v>
      </c>
      <c r="N42" s="73">
        <f>1658.7696+102851.29967</f>
        <v>104510.06926999999</v>
      </c>
      <c r="O42" s="24"/>
      <c r="P42" s="24">
        <v>950</v>
      </c>
      <c r="Q42" s="24"/>
      <c r="R42" s="24"/>
      <c r="S42" s="86"/>
      <c r="T42" s="103"/>
      <c r="U42" s="73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>
        <v>1</v>
      </c>
      <c r="AU42" s="24"/>
      <c r="AV42" s="24"/>
      <c r="AW42" s="24"/>
      <c r="AX42" s="24"/>
      <c r="AY42" s="24"/>
      <c r="AZ42" s="24"/>
      <c r="BA42" s="24"/>
      <c r="BB42" s="24"/>
      <c r="BC42" s="24"/>
      <c r="BD42" s="74"/>
      <c r="BE42" s="73"/>
      <c r="BF42" s="24"/>
      <c r="BG42" s="24"/>
      <c r="BH42" s="24">
        <v>1</v>
      </c>
      <c r="BI42" s="86"/>
      <c r="BJ42" s="24">
        <v>1</v>
      </c>
      <c r="BK42" s="95">
        <v>1</v>
      </c>
      <c r="BL42" s="73"/>
      <c r="BM42" s="24"/>
      <c r="BN42" s="24"/>
      <c r="BO42" s="24"/>
      <c r="BP42" s="24"/>
      <c r="BQ42" s="24"/>
      <c r="BR42" s="24">
        <v>1</v>
      </c>
      <c r="BS42" s="24"/>
      <c r="BT42" s="74">
        <v>1</v>
      </c>
    </row>
    <row r="43" spans="1:72" s="25" customFormat="1" x14ac:dyDescent="0.25">
      <c r="A43" s="23">
        <v>163</v>
      </c>
      <c r="B43" s="21" t="s">
        <v>2</v>
      </c>
      <c r="C43" s="21" t="s">
        <v>232</v>
      </c>
      <c r="D43" s="148" t="s">
        <v>7</v>
      </c>
      <c r="E43" s="149">
        <v>300000</v>
      </c>
      <c r="F43" s="148" t="s">
        <v>7</v>
      </c>
      <c r="G43" s="149">
        <v>319056.7</v>
      </c>
      <c r="H43" s="148" t="s">
        <v>4</v>
      </c>
      <c r="I43" s="148" t="s">
        <v>356</v>
      </c>
      <c r="J43" s="148" t="s">
        <v>356</v>
      </c>
      <c r="K43" s="148" t="s">
        <v>357</v>
      </c>
      <c r="L43" s="148" t="s">
        <v>356</v>
      </c>
      <c r="M43" s="66">
        <f t="shared" si="51"/>
        <v>57000</v>
      </c>
      <c r="N43" s="73"/>
      <c r="O43" s="24"/>
      <c r="P43" s="24">
        <v>57000</v>
      </c>
      <c r="Q43" s="24"/>
      <c r="R43" s="24"/>
      <c r="S43" s="86"/>
      <c r="T43" s="103"/>
      <c r="U43" s="73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>
        <v>1</v>
      </c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74"/>
      <c r="BE43" s="73"/>
      <c r="BF43" s="24"/>
      <c r="BG43" s="24">
        <v>1</v>
      </c>
      <c r="BH43" s="24"/>
      <c r="BI43" s="86"/>
      <c r="BJ43" s="24"/>
      <c r="BK43" s="95"/>
      <c r="BL43" s="73"/>
      <c r="BM43" s="24"/>
      <c r="BN43" s="24"/>
      <c r="BO43" s="24"/>
      <c r="BP43" s="24"/>
      <c r="BQ43" s="24"/>
      <c r="BR43" s="24"/>
      <c r="BS43" s="24"/>
      <c r="BT43" s="74">
        <v>1</v>
      </c>
    </row>
    <row r="44" spans="1:72" s="25" customFormat="1" x14ac:dyDescent="0.25">
      <c r="A44" s="23">
        <v>168</v>
      </c>
      <c r="B44" s="21" t="s">
        <v>2</v>
      </c>
      <c r="C44" s="21" t="s">
        <v>40</v>
      </c>
      <c r="D44" s="148" t="s">
        <v>7</v>
      </c>
      <c r="E44" s="149">
        <v>100000</v>
      </c>
      <c r="F44" s="148" t="s">
        <v>7</v>
      </c>
      <c r="G44" s="149">
        <v>271434.02</v>
      </c>
      <c r="H44" s="148" t="s">
        <v>4</v>
      </c>
      <c r="I44" s="148" t="s">
        <v>356</v>
      </c>
      <c r="J44" s="148" t="s">
        <v>357</v>
      </c>
      <c r="K44" s="148" t="s">
        <v>357</v>
      </c>
      <c r="L44" s="148" t="s">
        <v>356</v>
      </c>
      <c r="M44" s="66">
        <f t="shared" si="51"/>
        <v>55137</v>
      </c>
      <c r="N44" s="73"/>
      <c r="O44" s="24"/>
      <c r="P44" s="24">
        <f>19058+28543</f>
        <v>47601</v>
      </c>
      <c r="Q44" s="24">
        <v>7536</v>
      </c>
      <c r="R44" s="24"/>
      <c r="S44" s="86"/>
      <c r="T44" s="103"/>
      <c r="U44" s="73"/>
      <c r="V44" s="24"/>
      <c r="W44" s="24"/>
      <c r="X44" s="24"/>
      <c r="Y44" s="24"/>
      <c r="Z44" s="24"/>
      <c r="AA44" s="24"/>
      <c r="AB44" s="24"/>
      <c r="AC44" s="24"/>
      <c r="AD44" s="24">
        <v>1</v>
      </c>
      <c r="AE44" s="24">
        <v>1</v>
      </c>
      <c r="AF44" s="24"/>
      <c r="AG44" s="24">
        <v>1</v>
      </c>
      <c r="AH44" s="24">
        <v>1</v>
      </c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>
        <v>1</v>
      </c>
      <c r="BD44" s="74"/>
      <c r="BE44" s="73"/>
      <c r="BF44" s="24"/>
      <c r="BG44" s="24">
        <v>1</v>
      </c>
      <c r="BH44" s="24">
        <v>1</v>
      </c>
      <c r="BI44" s="86"/>
      <c r="BJ44" s="24">
        <v>1</v>
      </c>
      <c r="BK44" s="95"/>
      <c r="BL44" s="73"/>
      <c r="BM44" s="24">
        <v>1</v>
      </c>
      <c r="BN44" s="24"/>
      <c r="BO44" s="24"/>
      <c r="BP44" s="24"/>
      <c r="BQ44" s="24"/>
      <c r="BR44" s="24">
        <v>1</v>
      </c>
      <c r="BS44" s="24">
        <v>1</v>
      </c>
      <c r="BT44" s="74"/>
    </row>
    <row r="45" spans="1:72" s="25" customFormat="1" ht="31.5" x14ac:dyDescent="0.25">
      <c r="A45" s="23">
        <v>173</v>
      </c>
      <c r="B45" s="21" t="s">
        <v>2</v>
      </c>
      <c r="C45" s="21" t="s">
        <v>41</v>
      </c>
      <c r="D45" s="148" t="s">
        <v>7</v>
      </c>
      <c r="E45" s="149">
        <v>100000</v>
      </c>
      <c r="F45" s="148" t="s">
        <v>7</v>
      </c>
      <c r="G45" s="149">
        <v>271434.02</v>
      </c>
      <c r="H45" s="148" t="s">
        <v>4</v>
      </c>
      <c r="I45" s="148" t="s">
        <v>356</v>
      </c>
      <c r="J45" s="148" t="s">
        <v>356</v>
      </c>
      <c r="K45" s="148" t="s">
        <v>357</v>
      </c>
      <c r="L45" s="148" t="s">
        <v>356</v>
      </c>
      <c r="M45" s="66">
        <f t="shared" si="51"/>
        <v>15000</v>
      </c>
      <c r="N45" s="73"/>
      <c r="O45" s="24"/>
      <c r="P45" s="24">
        <v>15000</v>
      </c>
      <c r="Q45" s="24"/>
      <c r="R45" s="24"/>
      <c r="S45" s="86"/>
      <c r="T45" s="103"/>
      <c r="U45" s="73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>
        <v>1</v>
      </c>
      <c r="AH45" s="24"/>
      <c r="AI45" s="24"/>
      <c r="AJ45" s="24"/>
      <c r="AK45" s="24">
        <v>1</v>
      </c>
      <c r="AL45" s="24">
        <v>1</v>
      </c>
      <c r="AM45" s="24">
        <v>1</v>
      </c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74"/>
      <c r="BE45" s="73"/>
      <c r="BF45" s="24"/>
      <c r="BG45" s="24"/>
      <c r="BH45" s="24">
        <v>1</v>
      </c>
      <c r="BI45" s="86"/>
      <c r="BJ45" s="24"/>
      <c r="BK45" s="95"/>
      <c r="BL45" s="73"/>
      <c r="BM45" s="24"/>
      <c r="BN45" s="24"/>
      <c r="BO45" s="24"/>
      <c r="BP45" s="24"/>
      <c r="BQ45" s="24"/>
      <c r="BR45" s="24">
        <v>1</v>
      </c>
      <c r="BS45" s="24"/>
      <c r="BT45" s="74"/>
    </row>
    <row r="46" spans="1:72" s="25" customFormat="1" x14ac:dyDescent="0.25">
      <c r="A46" s="23">
        <v>180</v>
      </c>
      <c r="B46" s="21" t="s">
        <v>2</v>
      </c>
      <c r="C46" s="21" t="s">
        <v>42</v>
      </c>
      <c r="D46" s="148" t="s">
        <v>354</v>
      </c>
      <c r="E46" s="149">
        <v>500000</v>
      </c>
      <c r="F46" s="148" t="s">
        <v>354</v>
      </c>
      <c r="G46" s="149">
        <v>2500000</v>
      </c>
      <c r="H46" s="148" t="s">
        <v>4</v>
      </c>
      <c r="I46" s="148" t="s">
        <v>356</v>
      </c>
      <c r="J46" s="148" t="s">
        <v>356</v>
      </c>
      <c r="K46" s="148" t="s">
        <v>357</v>
      </c>
      <c r="L46" s="148" t="s">
        <v>356</v>
      </c>
      <c r="M46" s="66">
        <f t="shared" si="51"/>
        <v>0</v>
      </c>
      <c r="N46" s="73"/>
      <c r="O46" s="24"/>
      <c r="P46" s="24"/>
      <c r="Q46" s="24"/>
      <c r="R46" s="24"/>
      <c r="S46" s="86"/>
      <c r="T46" s="103"/>
      <c r="U46" s="73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74"/>
      <c r="BE46" s="73"/>
      <c r="BF46" s="24"/>
      <c r="BG46" s="24">
        <v>1</v>
      </c>
      <c r="BH46" s="24"/>
      <c r="BI46" s="86"/>
      <c r="BJ46" s="24">
        <v>1</v>
      </c>
      <c r="BK46" s="95"/>
      <c r="BL46" s="73"/>
      <c r="BM46" s="24"/>
      <c r="BN46" s="24"/>
      <c r="BO46" s="24"/>
      <c r="BP46" s="24"/>
      <c r="BQ46" s="24"/>
      <c r="BR46" s="24">
        <v>1</v>
      </c>
      <c r="BS46" s="24"/>
      <c r="BT46" s="74"/>
    </row>
    <row r="47" spans="1:72" s="25" customFormat="1" x14ac:dyDescent="0.25">
      <c r="A47" s="23">
        <v>188</v>
      </c>
      <c r="B47" s="21" t="s">
        <v>2</v>
      </c>
      <c r="C47" s="21" t="s">
        <v>43</v>
      </c>
      <c r="D47" s="148" t="s">
        <v>7</v>
      </c>
      <c r="E47" s="149">
        <v>300000</v>
      </c>
      <c r="F47" s="148"/>
      <c r="G47" s="148"/>
      <c r="H47" s="148" t="s">
        <v>4</v>
      </c>
      <c r="I47" s="148" t="s">
        <v>356</v>
      </c>
      <c r="J47" s="148" t="s">
        <v>357</v>
      </c>
      <c r="K47" s="148" t="s">
        <v>357</v>
      </c>
      <c r="L47" s="148" t="s">
        <v>357</v>
      </c>
      <c r="M47" s="66">
        <f t="shared" si="51"/>
        <v>69976.390000000014</v>
      </c>
      <c r="N47" s="73"/>
      <c r="O47" s="24">
        <f>472.27+25484.71+8281.93+4769.86+16295.75+4751.66+1566.32+1066.69</f>
        <v>62689.19000000001</v>
      </c>
      <c r="P47" s="24">
        <v>7287.2</v>
      </c>
      <c r="Q47" s="24"/>
      <c r="R47" s="24"/>
      <c r="S47" s="86"/>
      <c r="T47" s="103"/>
      <c r="U47" s="73"/>
      <c r="V47" s="24"/>
      <c r="W47" s="24"/>
      <c r="X47" s="24"/>
      <c r="Y47" s="24"/>
      <c r="Z47" s="24">
        <v>1</v>
      </c>
      <c r="AA47" s="24"/>
      <c r="AB47" s="24"/>
      <c r="AC47" s="24">
        <v>1</v>
      </c>
      <c r="AD47" s="24">
        <v>1</v>
      </c>
      <c r="AE47" s="24">
        <v>1</v>
      </c>
      <c r="AF47" s="24">
        <v>1</v>
      </c>
      <c r="AG47" s="24">
        <v>1</v>
      </c>
      <c r="AH47" s="24"/>
      <c r="AI47" s="24">
        <v>1</v>
      </c>
      <c r="AJ47" s="24"/>
      <c r="AK47" s="24"/>
      <c r="AL47" s="24"/>
      <c r="AM47" s="24">
        <v>1</v>
      </c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>
        <v>1</v>
      </c>
      <c r="BC47" s="24"/>
      <c r="BD47" s="74"/>
      <c r="BE47" s="73"/>
      <c r="BF47" s="24">
        <v>1</v>
      </c>
      <c r="BG47" s="24">
        <v>1</v>
      </c>
      <c r="BH47" s="24">
        <v>1</v>
      </c>
      <c r="BI47" s="86"/>
      <c r="BJ47" s="24"/>
      <c r="BK47" s="95"/>
      <c r="BL47" s="73"/>
      <c r="BM47" s="24"/>
      <c r="BN47" s="24"/>
      <c r="BO47" s="24"/>
      <c r="BP47" s="24"/>
      <c r="BQ47" s="24"/>
      <c r="BR47" s="24">
        <v>1</v>
      </c>
      <c r="BS47" s="24">
        <v>1</v>
      </c>
      <c r="BT47" s="74"/>
    </row>
    <row r="48" spans="1:72" s="25" customFormat="1" x14ac:dyDescent="0.25">
      <c r="A48" s="23">
        <v>189</v>
      </c>
      <c r="B48" s="21" t="s">
        <v>2</v>
      </c>
      <c r="C48" s="21" t="s">
        <v>44</v>
      </c>
      <c r="D48" s="148" t="s">
        <v>354</v>
      </c>
      <c r="E48" s="149">
        <v>500000</v>
      </c>
      <c r="F48" s="148" t="s">
        <v>354</v>
      </c>
      <c r="G48" s="149">
        <v>2500000</v>
      </c>
      <c r="H48" s="148" t="s">
        <v>4</v>
      </c>
      <c r="I48" s="148" t="s">
        <v>356</v>
      </c>
      <c r="J48" s="148" t="s">
        <v>356</v>
      </c>
      <c r="K48" s="148" t="s">
        <v>357</v>
      </c>
      <c r="L48" s="148" t="s">
        <v>356</v>
      </c>
      <c r="M48" s="66">
        <f t="shared" si="51"/>
        <v>273289.38100000005</v>
      </c>
      <c r="N48" s="73"/>
      <c r="O48" s="24">
        <f>403.132+6754.278+2977.152+4854.523+5391.819+6249.823+4371.906+12520.939+27340.511+14304+2681.89+12264+4803.144+12935.703+915.19+7921.206+66606.494+64021.921+8016+7955.75</f>
        <v>273289.38100000005</v>
      </c>
      <c r="P48" s="24"/>
      <c r="Q48" s="24"/>
      <c r="R48" s="24"/>
      <c r="S48" s="86"/>
      <c r="T48" s="103"/>
      <c r="U48" s="73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>
        <v>1</v>
      </c>
      <c r="AH48" s="24"/>
      <c r="AI48" s="24">
        <v>1</v>
      </c>
      <c r="AJ48" s="24"/>
      <c r="AK48" s="24">
        <v>1</v>
      </c>
      <c r="AL48" s="24">
        <v>1</v>
      </c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74"/>
      <c r="BE48" s="73">
        <v>1</v>
      </c>
      <c r="BF48" s="24"/>
      <c r="BG48" s="24">
        <v>1</v>
      </c>
      <c r="BH48" s="24">
        <v>1</v>
      </c>
      <c r="BI48" s="86"/>
      <c r="BJ48" s="24">
        <v>1</v>
      </c>
      <c r="BK48" s="95"/>
      <c r="BL48" s="73"/>
      <c r="BM48" s="24"/>
      <c r="BN48" s="24"/>
      <c r="BO48" s="24"/>
      <c r="BP48" s="24"/>
      <c r="BQ48" s="24"/>
      <c r="BR48" s="24">
        <v>1</v>
      </c>
      <c r="BS48" s="24"/>
      <c r="BT48" s="74"/>
    </row>
    <row r="49" spans="1:72" s="25" customFormat="1" x14ac:dyDescent="0.25">
      <c r="A49" s="23">
        <v>190</v>
      </c>
      <c r="B49" s="21" t="s">
        <v>2</v>
      </c>
      <c r="C49" s="21" t="s">
        <v>233</v>
      </c>
      <c r="D49" s="148" t="s">
        <v>7</v>
      </c>
      <c r="E49" s="149">
        <v>300000</v>
      </c>
      <c r="F49" s="148"/>
      <c r="G49" s="148"/>
      <c r="H49" s="148" t="s">
        <v>4</v>
      </c>
      <c r="I49" s="148" t="s">
        <v>356</v>
      </c>
      <c r="J49" s="148" t="s">
        <v>357</v>
      </c>
      <c r="K49" s="148" t="s">
        <v>357</v>
      </c>
      <c r="L49" s="148" t="s">
        <v>357</v>
      </c>
      <c r="M49" s="66">
        <f t="shared" si="51"/>
        <v>354278</v>
      </c>
      <c r="N49" s="73">
        <f>340221+14057</f>
        <v>354278</v>
      </c>
      <c r="O49" s="24"/>
      <c r="P49" s="24"/>
      <c r="Q49" s="24"/>
      <c r="R49" s="24"/>
      <c r="S49" s="86"/>
      <c r="T49" s="103"/>
      <c r="U49" s="73">
        <v>1</v>
      </c>
      <c r="V49" s="24">
        <v>1</v>
      </c>
      <c r="W49" s="24">
        <v>1</v>
      </c>
      <c r="X49" s="24"/>
      <c r="Y49" s="24">
        <v>1</v>
      </c>
      <c r="Z49" s="24"/>
      <c r="AA49" s="24">
        <v>1</v>
      </c>
      <c r="AB49" s="24">
        <v>1</v>
      </c>
      <c r="AC49" s="24">
        <v>1</v>
      </c>
      <c r="AD49" s="24"/>
      <c r="AE49" s="24">
        <v>1</v>
      </c>
      <c r="AF49" s="24">
        <v>1</v>
      </c>
      <c r="AG49" s="24">
        <v>1</v>
      </c>
      <c r="AH49" s="24">
        <v>1</v>
      </c>
      <c r="AI49" s="24">
        <v>1</v>
      </c>
      <c r="AJ49" s="24">
        <v>1</v>
      </c>
      <c r="AK49" s="24"/>
      <c r="AL49" s="24">
        <v>1</v>
      </c>
      <c r="AM49" s="24">
        <v>1</v>
      </c>
      <c r="AN49" s="24">
        <v>1</v>
      </c>
      <c r="AO49" s="24">
        <v>1</v>
      </c>
      <c r="AP49" s="24">
        <v>1</v>
      </c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>
        <v>1</v>
      </c>
      <c r="BC49" s="24"/>
      <c r="BD49" s="74"/>
      <c r="BE49" s="73">
        <v>1</v>
      </c>
      <c r="BF49" s="24"/>
      <c r="BG49" s="24"/>
      <c r="BH49" s="24"/>
      <c r="BI49" s="86"/>
      <c r="BJ49" s="24"/>
      <c r="BK49" s="95"/>
      <c r="BL49" s="73">
        <v>1</v>
      </c>
      <c r="BM49" s="24"/>
      <c r="BN49" s="24"/>
      <c r="BO49" s="24"/>
      <c r="BP49" s="24"/>
      <c r="BQ49" s="24"/>
      <c r="BR49" s="24"/>
      <c r="BS49" s="24"/>
      <c r="BT49" s="74"/>
    </row>
    <row r="50" spans="1:72" s="25" customFormat="1" ht="31.5" x14ac:dyDescent="0.25">
      <c r="A50" s="23">
        <v>193</v>
      </c>
      <c r="B50" s="21" t="s">
        <v>2</v>
      </c>
      <c r="C50" s="21" t="s">
        <v>46</v>
      </c>
      <c r="D50" s="148" t="s">
        <v>354</v>
      </c>
      <c r="E50" s="149">
        <v>500000</v>
      </c>
      <c r="F50" s="148" t="s">
        <v>355</v>
      </c>
      <c r="G50" s="149">
        <v>4500000</v>
      </c>
      <c r="H50" s="148" t="s">
        <v>4</v>
      </c>
      <c r="I50" s="148" t="s">
        <v>356</v>
      </c>
      <c r="J50" s="148" t="s">
        <v>356</v>
      </c>
      <c r="K50" s="148" t="s">
        <v>357</v>
      </c>
      <c r="L50" s="148" t="s">
        <v>356</v>
      </c>
      <c r="M50" s="66">
        <f t="shared" si="51"/>
        <v>281707.913</v>
      </c>
      <c r="N50" s="73">
        <v>179348.22500000001</v>
      </c>
      <c r="O50" s="24"/>
      <c r="P50" s="24">
        <f>75027.546+14696.642+12635.5</f>
        <v>102359.68799999999</v>
      </c>
      <c r="Q50" s="24"/>
      <c r="R50" s="24"/>
      <c r="S50" s="86"/>
      <c r="T50" s="103"/>
      <c r="U50" s="73"/>
      <c r="V50" s="24"/>
      <c r="W50" s="24"/>
      <c r="X50" s="24"/>
      <c r="Y50" s="24"/>
      <c r="Z50" s="24"/>
      <c r="AA50" s="24">
        <v>1</v>
      </c>
      <c r="AB50" s="24"/>
      <c r="AC50" s="24">
        <v>1</v>
      </c>
      <c r="AD50" s="24">
        <v>1</v>
      </c>
      <c r="AE50" s="24">
        <v>1</v>
      </c>
      <c r="AF50" s="24">
        <v>1</v>
      </c>
      <c r="AG50" s="24">
        <v>1</v>
      </c>
      <c r="AH50" s="24">
        <v>1</v>
      </c>
      <c r="AI50" s="24">
        <v>1</v>
      </c>
      <c r="AJ50" s="24">
        <v>1</v>
      </c>
      <c r="AK50" s="24">
        <v>1</v>
      </c>
      <c r="AL50" s="24">
        <v>1</v>
      </c>
      <c r="AM50" s="24">
        <v>1</v>
      </c>
      <c r="AN50" s="24">
        <v>1</v>
      </c>
      <c r="AO50" s="24">
        <v>1</v>
      </c>
      <c r="AP50" s="24">
        <v>1</v>
      </c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>
        <v>1</v>
      </c>
      <c r="BC50" s="24"/>
      <c r="BD50" s="74"/>
      <c r="BE50" s="73"/>
      <c r="BF50" s="24"/>
      <c r="BG50" s="24">
        <v>1</v>
      </c>
      <c r="BH50" s="24"/>
      <c r="BI50" s="86"/>
      <c r="BJ50" s="24"/>
      <c r="BK50" s="95"/>
      <c r="BL50" s="73"/>
      <c r="BM50" s="24">
        <v>1</v>
      </c>
      <c r="BN50" s="24"/>
      <c r="BO50" s="24"/>
      <c r="BP50" s="24"/>
      <c r="BQ50" s="24"/>
      <c r="BR50" s="24"/>
      <c r="BS50" s="24"/>
      <c r="BT50" s="74"/>
    </row>
    <row r="51" spans="1:72" s="25" customFormat="1" x14ac:dyDescent="0.25">
      <c r="A51" s="23">
        <v>195</v>
      </c>
      <c r="B51" s="21" t="s">
        <v>2</v>
      </c>
      <c r="C51" s="21" t="s">
        <v>47</v>
      </c>
      <c r="D51" s="148" t="s">
        <v>7</v>
      </c>
      <c r="E51" s="149">
        <v>100000</v>
      </c>
      <c r="F51" s="148" t="s">
        <v>7</v>
      </c>
      <c r="G51" s="149">
        <v>271434.02</v>
      </c>
      <c r="H51" s="148" t="s">
        <v>4</v>
      </c>
      <c r="I51" s="148" t="s">
        <v>356</v>
      </c>
      <c r="J51" s="148" t="s">
        <v>356</v>
      </c>
      <c r="K51" s="148" t="s">
        <v>357</v>
      </c>
      <c r="L51" s="148" t="s">
        <v>356</v>
      </c>
      <c r="M51" s="66">
        <f t="shared" si="51"/>
        <v>84789.356</v>
      </c>
      <c r="N51" s="73">
        <f>16764.075+63075.796</f>
        <v>79839.870999999999</v>
      </c>
      <c r="O51" s="24">
        <v>4949.4849999999997</v>
      </c>
      <c r="P51" s="24"/>
      <c r="Q51" s="24"/>
      <c r="R51" s="24"/>
      <c r="S51" s="86"/>
      <c r="T51" s="103"/>
      <c r="U51" s="73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v>1</v>
      </c>
      <c r="AH51" s="24"/>
      <c r="AI51" s="24"/>
      <c r="AJ51" s="24"/>
      <c r="AK51" s="24"/>
      <c r="AL51" s="24">
        <v>1</v>
      </c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74"/>
      <c r="BE51" s="73"/>
      <c r="BF51" s="24"/>
      <c r="BG51" s="24"/>
      <c r="BH51" s="24">
        <v>1</v>
      </c>
      <c r="BI51" s="86"/>
      <c r="BJ51" s="24"/>
      <c r="BK51" s="95"/>
      <c r="BL51" s="73"/>
      <c r="BM51" s="24"/>
      <c r="BN51" s="24"/>
      <c r="BO51" s="24"/>
      <c r="BP51" s="24"/>
      <c r="BQ51" s="24"/>
      <c r="BR51" s="24">
        <v>1</v>
      </c>
      <c r="BS51" s="24"/>
      <c r="BT51" s="74"/>
    </row>
    <row r="52" spans="1:72" s="25" customFormat="1" x14ac:dyDescent="0.25">
      <c r="A52" s="23">
        <v>201</v>
      </c>
      <c r="B52" s="21" t="s">
        <v>2</v>
      </c>
      <c r="C52" s="21" t="s">
        <v>48</v>
      </c>
      <c r="D52" s="148" t="s">
        <v>7</v>
      </c>
      <c r="E52" s="149">
        <v>300000</v>
      </c>
      <c r="F52" s="148" t="s">
        <v>7</v>
      </c>
      <c r="G52" s="149">
        <v>319056.7</v>
      </c>
      <c r="H52" s="148" t="s">
        <v>4</v>
      </c>
      <c r="I52" s="148" t="s">
        <v>356</v>
      </c>
      <c r="J52" s="148" t="s">
        <v>356</v>
      </c>
      <c r="K52" s="148" t="s">
        <v>357</v>
      </c>
      <c r="L52" s="148" t="s">
        <v>356</v>
      </c>
      <c r="M52" s="66">
        <f t="shared" si="51"/>
        <v>26829.507999999998</v>
      </c>
      <c r="N52" s="73"/>
      <c r="O52" s="24"/>
      <c r="P52" s="24">
        <f>1115.81+2499.427+8530.119+5639.98+6626.957+2417.215</f>
        <v>26829.507999999998</v>
      </c>
      <c r="Q52" s="24"/>
      <c r="R52" s="24"/>
      <c r="S52" s="86"/>
      <c r="T52" s="103">
        <v>8</v>
      </c>
      <c r="U52" s="73">
        <v>1</v>
      </c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>
        <v>1</v>
      </c>
      <c r="AG52" s="24"/>
      <c r="AH52" s="24">
        <v>1</v>
      </c>
      <c r="AI52" s="24"/>
      <c r="AJ52" s="24"/>
      <c r="AK52" s="24"/>
      <c r="AL52" s="24"/>
      <c r="AM52" s="24"/>
      <c r="AN52" s="24"/>
      <c r="AO52" s="24"/>
      <c r="AP52" s="24">
        <v>1</v>
      </c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74"/>
      <c r="BE52" s="73">
        <v>1</v>
      </c>
      <c r="BF52" s="24"/>
      <c r="BG52" s="24"/>
      <c r="BH52" s="24"/>
      <c r="BI52" s="86"/>
      <c r="BJ52" s="24">
        <v>1</v>
      </c>
      <c r="BK52" s="95"/>
      <c r="BL52" s="73"/>
      <c r="BM52" s="24"/>
      <c r="BN52" s="24">
        <v>1</v>
      </c>
      <c r="BO52" s="24"/>
      <c r="BP52" s="24"/>
      <c r="BQ52" s="24"/>
      <c r="BR52" s="24"/>
      <c r="BS52" s="24"/>
      <c r="BT52" s="74"/>
    </row>
    <row r="53" spans="1:72" s="25" customFormat="1" x14ac:dyDescent="0.25">
      <c r="A53" s="23">
        <v>204</v>
      </c>
      <c r="B53" s="21" t="s">
        <v>2</v>
      </c>
      <c r="C53" s="21" t="s">
        <v>49</v>
      </c>
      <c r="D53" s="148" t="s">
        <v>7</v>
      </c>
      <c r="E53" s="149">
        <v>300000</v>
      </c>
      <c r="F53" s="148" t="s">
        <v>7</v>
      </c>
      <c r="G53" s="149">
        <v>200000</v>
      </c>
      <c r="H53" s="148" t="s">
        <v>4</v>
      </c>
      <c r="I53" s="148" t="s">
        <v>356</v>
      </c>
      <c r="J53" s="148" t="s">
        <v>357</v>
      </c>
      <c r="K53" s="148" t="s">
        <v>357</v>
      </c>
      <c r="L53" s="148" t="s">
        <v>356</v>
      </c>
      <c r="M53" s="66">
        <f t="shared" si="51"/>
        <v>74193.804869999993</v>
      </c>
      <c r="N53" s="73"/>
      <c r="O53" s="24"/>
      <c r="P53" s="24">
        <f>2425.5039+26333.44339+10615.57511+2179.93184+6486+2592.75+4177.03423+9969.32899+9414.23741</f>
        <v>74193.804869999993</v>
      </c>
      <c r="Q53" s="24"/>
      <c r="R53" s="24"/>
      <c r="S53" s="86"/>
      <c r="T53" s="103">
        <v>8</v>
      </c>
      <c r="U53" s="73">
        <v>1</v>
      </c>
      <c r="V53" s="24">
        <v>1</v>
      </c>
      <c r="W53" s="24"/>
      <c r="X53" s="24"/>
      <c r="Y53" s="24"/>
      <c r="Z53" s="24">
        <v>1</v>
      </c>
      <c r="AA53" s="24">
        <v>1</v>
      </c>
      <c r="AB53" s="24">
        <v>1</v>
      </c>
      <c r="AC53" s="24">
        <v>1</v>
      </c>
      <c r="AD53" s="24">
        <v>1</v>
      </c>
      <c r="AE53" s="24">
        <v>1</v>
      </c>
      <c r="AF53" s="24">
        <v>1</v>
      </c>
      <c r="AG53" s="24">
        <v>1</v>
      </c>
      <c r="AH53" s="24">
        <v>1</v>
      </c>
      <c r="AI53" s="24">
        <v>1</v>
      </c>
      <c r="AJ53" s="24"/>
      <c r="AK53" s="24">
        <v>1</v>
      </c>
      <c r="AL53" s="24">
        <v>1</v>
      </c>
      <c r="AM53" s="24"/>
      <c r="AN53" s="24">
        <v>1</v>
      </c>
      <c r="AO53" s="24">
        <v>1</v>
      </c>
      <c r="AP53" s="24">
        <v>1</v>
      </c>
      <c r="AQ53" s="24"/>
      <c r="AR53" s="24"/>
      <c r="AS53" s="24"/>
      <c r="AT53" s="24"/>
      <c r="AU53" s="24">
        <v>1</v>
      </c>
      <c r="AV53" s="24"/>
      <c r="AW53" s="24"/>
      <c r="AX53" s="24"/>
      <c r="AY53" s="24"/>
      <c r="AZ53" s="24"/>
      <c r="BA53" s="24"/>
      <c r="BB53" s="24">
        <v>1</v>
      </c>
      <c r="BC53" s="24"/>
      <c r="BD53" s="74"/>
      <c r="BE53" s="73"/>
      <c r="BF53" s="24">
        <v>1</v>
      </c>
      <c r="BG53" s="24">
        <v>1</v>
      </c>
      <c r="BH53" s="24">
        <v>1</v>
      </c>
      <c r="BI53" s="86"/>
      <c r="BJ53" s="24">
        <v>1</v>
      </c>
      <c r="BK53" s="95"/>
      <c r="BL53" s="73"/>
      <c r="BM53" s="24">
        <v>1</v>
      </c>
      <c r="BN53" s="24">
        <v>1</v>
      </c>
      <c r="BO53" s="24"/>
      <c r="BP53" s="24"/>
      <c r="BQ53" s="24"/>
      <c r="BR53" s="24">
        <v>1</v>
      </c>
      <c r="BS53" s="24">
        <v>1</v>
      </c>
      <c r="BT53" s="74"/>
    </row>
    <row r="54" spans="1:72" s="142" customFormat="1" ht="31.5" x14ac:dyDescent="0.25">
      <c r="A54" s="133">
        <v>206</v>
      </c>
      <c r="B54" s="134" t="s">
        <v>2</v>
      </c>
      <c r="C54" s="134" t="s">
        <v>50</v>
      </c>
      <c r="D54" s="154" t="s">
        <v>7</v>
      </c>
      <c r="E54" s="155">
        <v>100000</v>
      </c>
      <c r="F54" s="154" t="s">
        <v>7</v>
      </c>
      <c r="G54" s="155">
        <v>271434.02</v>
      </c>
      <c r="H54" s="154" t="s">
        <v>359</v>
      </c>
      <c r="I54" s="154" t="s">
        <v>356</v>
      </c>
      <c r="J54" s="154" t="s">
        <v>357</v>
      </c>
      <c r="K54" s="154" t="s">
        <v>357</v>
      </c>
      <c r="L54" s="154" t="s">
        <v>356</v>
      </c>
      <c r="M54" s="135">
        <f t="shared" si="51"/>
        <v>0</v>
      </c>
      <c r="N54" s="136"/>
      <c r="O54" s="137"/>
      <c r="P54" s="137"/>
      <c r="Q54" s="137"/>
      <c r="R54" s="137"/>
      <c r="S54" s="138"/>
      <c r="T54" s="139"/>
      <c r="U54" s="136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40"/>
      <c r="BE54" s="136"/>
      <c r="BF54" s="137"/>
      <c r="BG54" s="137"/>
      <c r="BH54" s="137"/>
      <c r="BI54" s="138"/>
      <c r="BJ54" s="137"/>
      <c r="BK54" s="141"/>
      <c r="BL54" s="136"/>
      <c r="BM54" s="137"/>
      <c r="BN54" s="137"/>
      <c r="BO54" s="137"/>
      <c r="BP54" s="137"/>
      <c r="BQ54" s="137"/>
      <c r="BR54" s="137"/>
      <c r="BS54" s="137"/>
      <c r="BT54" s="140"/>
    </row>
    <row r="55" spans="1:72" s="25" customFormat="1" x14ac:dyDescent="0.25">
      <c r="A55" s="23">
        <v>210</v>
      </c>
      <c r="B55" s="21" t="s">
        <v>2</v>
      </c>
      <c r="C55" s="21" t="s">
        <v>51</v>
      </c>
      <c r="D55" s="148" t="s">
        <v>7</v>
      </c>
      <c r="E55" s="149">
        <v>100000</v>
      </c>
      <c r="F55" s="148" t="s">
        <v>7</v>
      </c>
      <c r="G55" s="149">
        <v>271434.02</v>
      </c>
      <c r="H55" s="148" t="s">
        <v>4</v>
      </c>
      <c r="I55" s="148" t="s">
        <v>356</v>
      </c>
      <c r="J55" s="148" t="s">
        <v>356</v>
      </c>
      <c r="K55" s="148" t="s">
        <v>357</v>
      </c>
      <c r="L55" s="148" t="s">
        <v>356</v>
      </c>
      <c r="M55" s="66">
        <f t="shared" si="51"/>
        <v>70356</v>
      </c>
      <c r="N55" s="73">
        <v>70356</v>
      </c>
      <c r="O55" s="24"/>
      <c r="P55" s="24"/>
      <c r="Q55" s="24"/>
      <c r="R55" s="24"/>
      <c r="S55" s="86"/>
      <c r="T55" s="103"/>
      <c r="U55" s="73">
        <v>1</v>
      </c>
      <c r="V55" s="24">
        <v>1</v>
      </c>
      <c r="W55" s="24">
        <v>1</v>
      </c>
      <c r="X55" s="24">
        <v>1</v>
      </c>
      <c r="Y55" s="24"/>
      <c r="Z55" s="24">
        <v>1</v>
      </c>
      <c r="AA55" s="24">
        <v>1</v>
      </c>
      <c r="AB55" s="24">
        <v>1</v>
      </c>
      <c r="AC55" s="24">
        <v>1</v>
      </c>
      <c r="AD55" s="24">
        <v>1</v>
      </c>
      <c r="AE55" s="24">
        <v>1</v>
      </c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74"/>
      <c r="BE55" s="73">
        <v>1</v>
      </c>
      <c r="BF55" s="24"/>
      <c r="BG55" s="24"/>
      <c r="BH55" s="24">
        <v>1</v>
      </c>
      <c r="BI55" s="86"/>
      <c r="BJ55" s="24">
        <v>1</v>
      </c>
      <c r="BK55" s="95"/>
      <c r="BL55" s="73"/>
      <c r="BM55" s="24"/>
      <c r="BN55" s="24"/>
      <c r="BO55" s="24"/>
      <c r="BP55" s="24"/>
      <c r="BQ55" s="24"/>
      <c r="BR55" s="24">
        <v>1</v>
      </c>
      <c r="BS55" s="24"/>
      <c r="BT55" s="74"/>
    </row>
    <row r="56" spans="1:72" s="142" customFormat="1" x14ac:dyDescent="0.25">
      <c r="A56" s="133">
        <v>214</v>
      </c>
      <c r="B56" s="134" t="s">
        <v>52</v>
      </c>
      <c r="C56" s="134" t="s">
        <v>53</v>
      </c>
      <c r="D56" s="154" t="s">
        <v>7</v>
      </c>
      <c r="E56" s="155">
        <v>300000</v>
      </c>
      <c r="F56" s="154"/>
      <c r="G56" s="154"/>
      <c r="H56" s="154" t="s">
        <v>359</v>
      </c>
      <c r="I56" s="154" t="s">
        <v>356</v>
      </c>
      <c r="J56" s="154" t="s">
        <v>357</v>
      </c>
      <c r="K56" s="154" t="s">
        <v>357</v>
      </c>
      <c r="L56" s="154" t="s">
        <v>357</v>
      </c>
      <c r="M56" s="135">
        <f t="shared" si="51"/>
        <v>0</v>
      </c>
      <c r="N56" s="136"/>
      <c r="O56" s="137"/>
      <c r="P56" s="137"/>
      <c r="Q56" s="137"/>
      <c r="R56" s="137"/>
      <c r="S56" s="138"/>
      <c r="T56" s="139"/>
      <c r="U56" s="136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40"/>
      <c r="BE56" s="136"/>
      <c r="BF56" s="137"/>
      <c r="BG56" s="137"/>
      <c r="BH56" s="137"/>
      <c r="BI56" s="138"/>
      <c r="BJ56" s="137"/>
      <c r="BK56" s="141"/>
      <c r="BL56" s="136"/>
      <c r="BM56" s="137"/>
      <c r="BN56" s="137"/>
      <c r="BO56" s="137"/>
      <c r="BP56" s="137"/>
      <c r="BQ56" s="137"/>
      <c r="BR56" s="137"/>
      <c r="BS56" s="137"/>
      <c r="BT56" s="140"/>
    </row>
    <row r="57" spans="1:72" s="25" customFormat="1" ht="47.25" x14ac:dyDescent="0.25">
      <c r="A57" s="23">
        <v>222</v>
      </c>
      <c r="B57" s="21" t="s">
        <v>234</v>
      </c>
      <c r="C57" s="21" t="s">
        <v>54</v>
      </c>
      <c r="D57" s="148" t="s">
        <v>7</v>
      </c>
      <c r="E57" s="149">
        <v>300000</v>
      </c>
      <c r="F57" s="148"/>
      <c r="G57" s="148"/>
      <c r="H57" s="148" t="s">
        <v>4</v>
      </c>
      <c r="I57" s="148" t="s">
        <v>356</v>
      </c>
      <c r="J57" s="148" t="s">
        <v>357</v>
      </c>
      <c r="K57" s="148" t="s">
        <v>357</v>
      </c>
      <c r="L57" s="148" t="s">
        <v>357</v>
      </c>
      <c r="M57" s="66">
        <f t="shared" si="51"/>
        <v>4504.67</v>
      </c>
      <c r="N57" s="73"/>
      <c r="O57" s="24"/>
      <c r="P57" s="24">
        <v>4504.67</v>
      </c>
      <c r="Q57" s="24"/>
      <c r="R57" s="24"/>
      <c r="S57" s="86"/>
      <c r="T57" s="103">
        <v>8</v>
      </c>
      <c r="U57" s="73"/>
      <c r="V57" s="24"/>
      <c r="W57" s="24"/>
      <c r="X57" s="24"/>
      <c r="Y57" s="24"/>
      <c r="Z57" s="24"/>
      <c r="AA57" s="24"/>
      <c r="AB57" s="24"/>
      <c r="AC57" s="24"/>
      <c r="AD57" s="24"/>
      <c r="AE57" s="24">
        <v>1</v>
      </c>
      <c r="AF57" s="24"/>
      <c r="AG57" s="24">
        <v>1</v>
      </c>
      <c r="AH57" s="24"/>
      <c r="AI57" s="24">
        <v>1</v>
      </c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74"/>
      <c r="BE57" s="73"/>
      <c r="BF57" s="24">
        <v>1</v>
      </c>
      <c r="BG57" s="24"/>
      <c r="BH57" s="24"/>
      <c r="BI57" s="86"/>
      <c r="BJ57" s="24"/>
      <c r="BK57" s="95"/>
      <c r="BL57" s="73">
        <v>1</v>
      </c>
      <c r="BM57" s="24"/>
      <c r="BN57" s="24"/>
      <c r="BO57" s="24"/>
      <c r="BP57" s="24"/>
      <c r="BQ57" s="24"/>
      <c r="BR57" s="24"/>
      <c r="BS57" s="24"/>
      <c r="BT57" s="74"/>
    </row>
    <row r="58" spans="1:72" s="25" customFormat="1" x14ac:dyDescent="0.25">
      <c r="A58" s="23">
        <v>224</v>
      </c>
      <c r="B58" s="21" t="s">
        <v>2</v>
      </c>
      <c r="C58" s="21" t="s">
        <v>55</v>
      </c>
      <c r="D58" s="148" t="s">
        <v>7</v>
      </c>
      <c r="E58" s="149">
        <v>100000</v>
      </c>
      <c r="F58" s="148" t="s">
        <v>7</v>
      </c>
      <c r="G58" s="149">
        <v>271434.02</v>
      </c>
      <c r="H58" s="148" t="s">
        <v>4</v>
      </c>
      <c r="I58" s="148" t="s">
        <v>356</v>
      </c>
      <c r="J58" s="148" t="s">
        <v>357</v>
      </c>
      <c r="K58" s="148" t="s">
        <v>357</v>
      </c>
      <c r="L58" s="148" t="s">
        <v>356</v>
      </c>
      <c r="M58" s="66">
        <f t="shared" si="51"/>
        <v>487204.18400000001</v>
      </c>
      <c r="N58" s="73">
        <f>458884.949+11703.31</f>
        <v>470588.25900000002</v>
      </c>
      <c r="O58" s="24"/>
      <c r="P58" s="24">
        <f>4140.144+8022.976+4452.805</f>
        <v>16615.924999999999</v>
      </c>
      <c r="Q58" s="24"/>
      <c r="R58" s="24"/>
      <c r="S58" s="86"/>
      <c r="T58" s="103"/>
      <c r="U58" s="73">
        <v>1</v>
      </c>
      <c r="V58" s="24">
        <v>1</v>
      </c>
      <c r="W58" s="24"/>
      <c r="X58" s="24">
        <v>1</v>
      </c>
      <c r="Y58" s="24">
        <v>1</v>
      </c>
      <c r="Z58" s="24">
        <v>1</v>
      </c>
      <c r="AA58" s="24">
        <v>1</v>
      </c>
      <c r="AB58" s="24">
        <v>1</v>
      </c>
      <c r="AC58" s="24">
        <v>1</v>
      </c>
      <c r="AD58" s="24">
        <v>1</v>
      </c>
      <c r="AE58" s="24">
        <v>1</v>
      </c>
      <c r="AF58" s="24">
        <v>1</v>
      </c>
      <c r="AG58" s="24">
        <v>1</v>
      </c>
      <c r="AH58" s="24">
        <v>1</v>
      </c>
      <c r="AI58" s="24">
        <v>1</v>
      </c>
      <c r="AJ58" s="24"/>
      <c r="AK58" s="24"/>
      <c r="AL58" s="24">
        <v>1</v>
      </c>
      <c r="AM58" s="24">
        <v>1</v>
      </c>
      <c r="AN58" s="24">
        <v>1</v>
      </c>
      <c r="AO58" s="24">
        <v>1</v>
      </c>
      <c r="AP58" s="24"/>
      <c r="AQ58" s="24"/>
      <c r="AR58" s="24">
        <v>1</v>
      </c>
      <c r="AS58" s="24">
        <v>1</v>
      </c>
      <c r="AT58" s="24"/>
      <c r="AU58" s="24"/>
      <c r="AV58" s="24">
        <v>1</v>
      </c>
      <c r="AW58" s="24"/>
      <c r="AX58" s="24"/>
      <c r="AY58" s="24"/>
      <c r="AZ58" s="24"/>
      <c r="BA58" s="24"/>
      <c r="BB58" s="24">
        <v>1</v>
      </c>
      <c r="BC58" s="24"/>
      <c r="BD58" s="74"/>
      <c r="BE58" s="73">
        <v>1</v>
      </c>
      <c r="BF58" s="24"/>
      <c r="BG58" s="24">
        <v>1</v>
      </c>
      <c r="BH58" s="24">
        <v>1</v>
      </c>
      <c r="BI58" s="86"/>
      <c r="BJ58" s="24"/>
      <c r="BK58" s="95"/>
      <c r="BL58" s="73"/>
      <c r="BM58" s="24">
        <v>1</v>
      </c>
      <c r="BN58" s="24">
        <v>1</v>
      </c>
      <c r="BO58" s="24"/>
      <c r="BP58" s="24">
        <v>1</v>
      </c>
      <c r="BQ58" s="24"/>
      <c r="BR58" s="24">
        <v>1</v>
      </c>
      <c r="BS58" s="24">
        <v>1</v>
      </c>
      <c r="BT58" s="74"/>
    </row>
    <row r="59" spans="1:72" s="25" customFormat="1" x14ac:dyDescent="0.25">
      <c r="A59" s="23">
        <v>228</v>
      </c>
      <c r="B59" s="21" t="s">
        <v>2</v>
      </c>
      <c r="C59" s="21" t="s">
        <v>56</v>
      </c>
      <c r="D59" s="148" t="s">
        <v>7</v>
      </c>
      <c r="E59" s="149">
        <v>100000</v>
      </c>
      <c r="F59" s="148" t="s">
        <v>7</v>
      </c>
      <c r="G59" s="149">
        <v>271434.02</v>
      </c>
      <c r="H59" s="148" t="s">
        <v>4</v>
      </c>
      <c r="I59" s="148" t="s">
        <v>356</v>
      </c>
      <c r="J59" s="148" t="s">
        <v>357</v>
      </c>
      <c r="K59" s="148" t="s">
        <v>357</v>
      </c>
      <c r="L59" s="148" t="s">
        <v>356</v>
      </c>
      <c r="M59" s="66">
        <f t="shared" si="51"/>
        <v>13386.597</v>
      </c>
      <c r="N59" s="73"/>
      <c r="O59" s="24">
        <f>867.28</f>
        <v>867.28</v>
      </c>
      <c r="P59" s="24">
        <f>2188.3536+1353.12+1458.131+2738.0988+4781.6136</f>
        <v>12519.316999999999</v>
      </c>
      <c r="Q59" s="24"/>
      <c r="R59" s="24"/>
      <c r="S59" s="86"/>
      <c r="T59" s="103">
        <v>8</v>
      </c>
      <c r="U59" s="73">
        <v>1</v>
      </c>
      <c r="V59" s="24">
        <v>1</v>
      </c>
      <c r="W59" s="24">
        <v>1</v>
      </c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>
        <v>1</v>
      </c>
      <c r="AP59" s="24"/>
      <c r="AQ59" s="24"/>
      <c r="AR59" s="24"/>
      <c r="AS59" s="24"/>
      <c r="AT59" s="24"/>
      <c r="AU59" s="24">
        <v>1</v>
      </c>
      <c r="AV59" s="24"/>
      <c r="AW59" s="24"/>
      <c r="AX59" s="24"/>
      <c r="AY59" s="24"/>
      <c r="AZ59" s="24"/>
      <c r="BA59" s="24"/>
      <c r="BB59" s="24"/>
      <c r="BC59" s="24"/>
      <c r="BD59" s="74"/>
      <c r="BE59" s="73">
        <v>1</v>
      </c>
      <c r="BF59" s="24"/>
      <c r="BG59" s="24"/>
      <c r="BH59" s="24"/>
      <c r="BI59" s="86"/>
      <c r="BJ59" s="24">
        <v>1</v>
      </c>
      <c r="BK59" s="95"/>
      <c r="BL59" s="73"/>
      <c r="BM59" s="24"/>
      <c r="BN59" s="24">
        <v>1</v>
      </c>
      <c r="BO59" s="24"/>
      <c r="BP59" s="24"/>
      <c r="BQ59" s="24"/>
      <c r="BR59" s="24"/>
      <c r="BS59" s="24" t="s">
        <v>353</v>
      </c>
      <c r="BT59" s="74"/>
    </row>
    <row r="60" spans="1:72" s="25" customFormat="1" x14ac:dyDescent="0.25">
      <c r="A60" s="23">
        <v>236</v>
      </c>
      <c r="B60" s="21" t="s">
        <v>57</v>
      </c>
      <c r="C60" s="21" t="s">
        <v>58</v>
      </c>
      <c r="D60" s="148" t="s">
        <v>7</v>
      </c>
      <c r="E60" s="149">
        <v>100000</v>
      </c>
      <c r="F60" s="148" t="s">
        <v>7</v>
      </c>
      <c r="G60" s="149">
        <v>271434.02</v>
      </c>
      <c r="H60" s="148" t="s">
        <v>4</v>
      </c>
      <c r="I60" s="148" t="s">
        <v>356</v>
      </c>
      <c r="J60" s="148" t="s">
        <v>357</v>
      </c>
      <c r="K60" s="148" t="s">
        <v>357</v>
      </c>
      <c r="L60" s="148" t="s">
        <v>356</v>
      </c>
      <c r="M60" s="66">
        <f t="shared" si="51"/>
        <v>99458.245759999991</v>
      </c>
      <c r="N60" s="73"/>
      <c r="O60" s="24"/>
      <c r="P60" s="24">
        <f>1575.75+2147.34544+756.36995+94978.78037</f>
        <v>99458.245759999991</v>
      </c>
      <c r="Q60" s="24"/>
      <c r="R60" s="24"/>
      <c r="S60" s="86"/>
      <c r="T60" s="103"/>
      <c r="U60" s="73"/>
      <c r="V60" s="24"/>
      <c r="W60" s="24"/>
      <c r="X60" s="24"/>
      <c r="Y60" s="24"/>
      <c r="Z60" s="24"/>
      <c r="AA60" s="24"/>
      <c r="AB60" s="24"/>
      <c r="AC60" s="24"/>
      <c r="AD60" s="24"/>
      <c r="AE60" s="24">
        <v>1</v>
      </c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v>1</v>
      </c>
      <c r="BD60" s="74"/>
      <c r="BE60" s="73"/>
      <c r="BF60" s="24">
        <v>1</v>
      </c>
      <c r="BG60" s="24"/>
      <c r="BH60" s="24"/>
      <c r="BI60" s="86"/>
      <c r="BJ60" s="24"/>
      <c r="BK60" s="95"/>
      <c r="BL60" s="73"/>
      <c r="BM60" s="24"/>
      <c r="BN60" s="24">
        <v>1</v>
      </c>
      <c r="BO60" s="24"/>
      <c r="BP60" s="24"/>
      <c r="BQ60" s="24"/>
      <c r="BR60" s="24">
        <v>1</v>
      </c>
      <c r="BS60" s="24"/>
      <c r="BT60" s="74"/>
    </row>
    <row r="61" spans="1:72" s="25" customFormat="1" x14ac:dyDescent="0.25">
      <c r="A61" s="23">
        <v>241</v>
      </c>
      <c r="B61" s="21" t="s">
        <v>2</v>
      </c>
      <c r="C61" s="21" t="s">
        <v>59</v>
      </c>
      <c r="D61" s="148" t="s">
        <v>7</v>
      </c>
      <c r="E61" s="149">
        <v>100000</v>
      </c>
      <c r="F61" s="148" t="s">
        <v>7</v>
      </c>
      <c r="G61" s="149">
        <v>519056.7</v>
      </c>
      <c r="H61" s="148" t="s">
        <v>4</v>
      </c>
      <c r="I61" s="148" t="s">
        <v>356</v>
      </c>
      <c r="J61" s="148" t="s">
        <v>357</v>
      </c>
      <c r="K61" s="148" t="s">
        <v>357</v>
      </c>
      <c r="L61" s="148" t="s">
        <v>356</v>
      </c>
      <c r="M61" s="66">
        <f t="shared" si="51"/>
        <v>18684.44932</v>
      </c>
      <c r="N61" s="73"/>
      <c r="O61" s="24"/>
      <c r="P61" s="24">
        <f>9197.813+9486.63632</f>
        <v>18684.44932</v>
      </c>
      <c r="Q61" s="24"/>
      <c r="R61" s="24"/>
      <c r="S61" s="86"/>
      <c r="T61" s="103">
        <v>8</v>
      </c>
      <c r="U61" s="73">
        <v>1</v>
      </c>
      <c r="V61" s="24">
        <v>1</v>
      </c>
      <c r="W61" s="24"/>
      <c r="X61" s="24"/>
      <c r="Y61" s="24"/>
      <c r="Z61" s="24"/>
      <c r="AA61" s="24"/>
      <c r="AB61" s="24">
        <v>1</v>
      </c>
      <c r="AC61" s="24">
        <v>1</v>
      </c>
      <c r="AD61" s="24">
        <v>1</v>
      </c>
      <c r="AE61" s="24">
        <v>1</v>
      </c>
      <c r="AF61" s="24">
        <v>1</v>
      </c>
      <c r="AG61" s="24">
        <v>1</v>
      </c>
      <c r="AH61" s="24">
        <v>1</v>
      </c>
      <c r="AI61" s="24"/>
      <c r="AJ61" s="24"/>
      <c r="AK61" s="24"/>
      <c r="AL61" s="24"/>
      <c r="AM61" s="24">
        <v>1</v>
      </c>
      <c r="AN61" s="24">
        <v>1</v>
      </c>
      <c r="AO61" s="24">
        <v>1</v>
      </c>
      <c r="AP61" s="24">
        <v>1</v>
      </c>
      <c r="AQ61" s="24"/>
      <c r="AR61" s="24"/>
      <c r="AS61" s="24"/>
      <c r="AT61" s="24"/>
      <c r="AU61" s="24">
        <v>1</v>
      </c>
      <c r="AV61" s="24"/>
      <c r="AW61" s="24"/>
      <c r="AX61" s="24"/>
      <c r="AY61" s="24"/>
      <c r="AZ61" s="24"/>
      <c r="BA61" s="24"/>
      <c r="BB61" s="24">
        <v>1</v>
      </c>
      <c r="BC61" s="24"/>
      <c r="BD61" s="74"/>
      <c r="BE61" s="73"/>
      <c r="BF61" s="24"/>
      <c r="BG61" s="24"/>
      <c r="BH61" s="24"/>
      <c r="BI61" s="86"/>
      <c r="BJ61" s="24"/>
      <c r="BK61" s="95"/>
      <c r="BL61" s="73"/>
      <c r="BM61" s="24"/>
      <c r="BN61" s="24"/>
      <c r="BO61" s="24"/>
      <c r="BP61" s="24"/>
      <c r="BQ61" s="24"/>
      <c r="BR61" s="24"/>
      <c r="BS61" s="24"/>
      <c r="BT61" s="74"/>
    </row>
    <row r="62" spans="1:72" s="25" customFormat="1" x14ac:dyDescent="0.25">
      <c r="A62" s="23">
        <v>265</v>
      </c>
      <c r="B62" s="21" t="s">
        <v>57</v>
      </c>
      <c r="C62" s="21" t="s">
        <v>60</v>
      </c>
      <c r="D62" s="148" t="s">
        <v>7</v>
      </c>
      <c r="E62" s="149">
        <v>100000</v>
      </c>
      <c r="F62" s="148" t="s">
        <v>7</v>
      </c>
      <c r="G62" s="149">
        <v>271434.02</v>
      </c>
      <c r="H62" s="148" t="s">
        <v>4</v>
      </c>
      <c r="I62" s="148" t="s">
        <v>356</v>
      </c>
      <c r="J62" s="148" t="s">
        <v>357</v>
      </c>
      <c r="K62" s="148" t="s">
        <v>357</v>
      </c>
      <c r="L62" s="148" t="s">
        <v>356</v>
      </c>
      <c r="M62" s="66">
        <f t="shared" si="51"/>
        <v>0</v>
      </c>
      <c r="N62" s="73"/>
      <c r="O62" s="24"/>
      <c r="P62" s="24"/>
      <c r="Q62" s="24"/>
      <c r="R62" s="24"/>
      <c r="S62" s="86"/>
      <c r="T62" s="103"/>
      <c r="U62" s="73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74"/>
      <c r="BE62" s="73"/>
      <c r="BF62" s="24"/>
      <c r="BG62" s="24"/>
      <c r="BH62" s="24"/>
      <c r="BI62" s="86"/>
      <c r="BJ62" s="24"/>
      <c r="BK62" s="95">
        <v>1</v>
      </c>
      <c r="BL62" s="73"/>
      <c r="BM62" s="24"/>
      <c r="BN62" s="24"/>
      <c r="BO62" s="24"/>
      <c r="BP62" s="24"/>
      <c r="BQ62" s="24"/>
      <c r="BR62" s="24"/>
      <c r="BS62" s="24"/>
      <c r="BT62" s="74">
        <v>1</v>
      </c>
    </row>
    <row r="63" spans="1:72" s="25" customFormat="1" x14ac:dyDescent="0.25">
      <c r="A63" s="23">
        <v>281</v>
      </c>
      <c r="B63" s="21" t="s">
        <v>2</v>
      </c>
      <c r="C63" s="21" t="s">
        <v>61</v>
      </c>
      <c r="D63" s="148" t="s">
        <v>354</v>
      </c>
      <c r="E63" s="149">
        <v>500000</v>
      </c>
      <c r="F63" s="148" t="s">
        <v>354</v>
      </c>
      <c r="G63" s="149">
        <v>2500000</v>
      </c>
      <c r="H63" s="148" t="s">
        <v>4</v>
      </c>
      <c r="I63" s="148" t="s">
        <v>356</v>
      </c>
      <c r="J63" s="148" t="s">
        <v>357</v>
      </c>
      <c r="K63" s="148" t="s">
        <v>357</v>
      </c>
      <c r="L63" s="148" t="s">
        <v>356</v>
      </c>
      <c r="M63" s="66">
        <f t="shared" si="51"/>
        <v>230847</v>
      </c>
      <c r="N63" s="73">
        <f>30002+846+50319+35850+2577+827+35587+10014+4763</f>
        <v>170785</v>
      </c>
      <c r="O63" s="24"/>
      <c r="P63" s="24">
        <v>60062</v>
      </c>
      <c r="Q63" s="24"/>
      <c r="R63" s="24"/>
      <c r="S63" s="86"/>
      <c r="T63" s="103"/>
      <c r="U63" s="73">
        <v>1</v>
      </c>
      <c r="V63" s="24">
        <v>1</v>
      </c>
      <c r="W63" s="24">
        <v>1</v>
      </c>
      <c r="X63" s="24"/>
      <c r="Y63" s="24"/>
      <c r="Z63" s="24">
        <v>1</v>
      </c>
      <c r="AA63" s="24">
        <v>1</v>
      </c>
      <c r="AB63" s="24"/>
      <c r="AC63" s="24"/>
      <c r="AD63" s="24">
        <v>1</v>
      </c>
      <c r="AE63" s="24">
        <v>1</v>
      </c>
      <c r="AF63" s="24">
        <v>1</v>
      </c>
      <c r="AG63" s="24"/>
      <c r="AH63" s="24"/>
      <c r="AI63" s="24"/>
      <c r="AJ63" s="24">
        <v>1</v>
      </c>
      <c r="AK63" s="24">
        <v>1</v>
      </c>
      <c r="AL63" s="24">
        <v>1</v>
      </c>
      <c r="AM63" s="24"/>
      <c r="AN63" s="24"/>
      <c r="AO63" s="24">
        <v>1</v>
      </c>
      <c r="AP63" s="24">
        <v>1</v>
      </c>
      <c r="AQ63" s="24"/>
      <c r="AR63" s="24"/>
      <c r="AS63" s="24"/>
      <c r="AT63" s="24"/>
      <c r="AU63" s="24">
        <v>1</v>
      </c>
      <c r="AV63" s="24"/>
      <c r="AW63" s="24"/>
      <c r="AX63" s="24"/>
      <c r="AY63" s="24"/>
      <c r="AZ63" s="24"/>
      <c r="BA63" s="24"/>
      <c r="BB63" s="24"/>
      <c r="BC63" s="24"/>
      <c r="BD63" s="74"/>
      <c r="BE63" s="73"/>
      <c r="BF63" s="24"/>
      <c r="BG63" s="24">
        <v>1</v>
      </c>
      <c r="BH63" s="24">
        <v>1</v>
      </c>
      <c r="BI63" s="86"/>
      <c r="BJ63" s="24">
        <v>1</v>
      </c>
      <c r="BK63" s="95">
        <v>1</v>
      </c>
      <c r="BL63" s="73"/>
      <c r="BM63" s="24"/>
      <c r="BN63" s="24">
        <v>1</v>
      </c>
      <c r="BO63" s="24"/>
      <c r="BP63" s="24"/>
      <c r="BQ63" s="24"/>
      <c r="BR63" s="24"/>
      <c r="BS63" s="24"/>
      <c r="BT63" s="74"/>
    </row>
    <row r="64" spans="1:72" s="25" customFormat="1" ht="31.5" x14ac:dyDescent="0.25">
      <c r="A64" s="23">
        <v>287</v>
      </c>
      <c r="B64" s="21" t="s">
        <v>2</v>
      </c>
      <c r="C64" s="21" t="s">
        <v>62</v>
      </c>
      <c r="D64" s="148" t="s">
        <v>360</v>
      </c>
      <c r="E64" s="149">
        <v>5000000</v>
      </c>
      <c r="F64" s="148" t="s">
        <v>354</v>
      </c>
      <c r="G64" s="149">
        <v>2571434.02</v>
      </c>
      <c r="H64" s="148" t="s">
        <v>4</v>
      </c>
      <c r="I64" s="148" t="s">
        <v>356</v>
      </c>
      <c r="J64" s="148" t="s">
        <v>357</v>
      </c>
      <c r="K64" s="148" t="s">
        <v>357</v>
      </c>
      <c r="L64" s="148" t="s">
        <v>356</v>
      </c>
      <c r="M64" s="66">
        <f t="shared" si="51"/>
        <v>0</v>
      </c>
      <c r="N64" s="73"/>
      <c r="O64" s="24"/>
      <c r="P64" s="24"/>
      <c r="Q64" s="24"/>
      <c r="R64" s="24"/>
      <c r="S64" s="86"/>
      <c r="T64" s="103"/>
      <c r="U64" s="73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74"/>
      <c r="BE64" s="73"/>
      <c r="BF64" s="24"/>
      <c r="BG64" s="24"/>
      <c r="BH64" s="24"/>
      <c r="BI64" s="86"/>
      <c r="BJ64" s="24"/>
      <c r="BK64" s="95">
        <v>1</v>
      </c>
      <c r="BL64" s="73"/>
      <c r="BM64" s="24"/>
      <c r="BN64" s="24"/>
      <c r="BO64" s="24"/>
      <c r="BP64" s="24"/>
      <c r="BQ64" s="24"/>
      <c r="BR64" s="24"/>
      <c r="BS64" s="24"/>
      <c r="BT64" s="74">
        <v>1</v>
      </c>
    </row>
    <row r="65" spans="1:72" s="25" customFormat="1" x14ac:dyDescent="0.25">
      <c r="A65" s="23">
        <v>289</v>
      </c>
      <c r="B65" s="21" t="s">
        <v>2</v>
      </c>
      <c r="C65" s="21" t="s">
        <v>63</v>
      </c>
      <c r="D65" s="148" t="s">
        <v>354</v>
      </c>
      <c r="E65" s="149">
        <v>800000</v>
      </c>
      <c r="F65" s="148" t="s">
        <v>7</v>
      </c>
      <c r="G65" s="149">
        <v>438113.4</v>
      </c>
      <c r="H65" s="148" t="s">
        <v>4</v>
      </c>
      <c r="I65" s="148" t="s">
        <v>356</v>
      </c>
      <c r="J65" s="148" t="s">
        <v>356</v>
      </c>
      <c r="K65" s="148" t="s">
        <v>357</v>
      </c>
      <c r="L65" s="148" t="s">
        <v>356</v>
      </c>
      <c r="M65" s="66">
        <f t="shared" si="51"/>
        <v>68646</v>
      </c>
      <c r="N65" s="73"/>
      <c r="O65" s="24"/>
      <c r="P65" s="24">
        <f>28432+40214</f>
        <v>68646</v>
      </c>
      <c r="Q65" s="24"/>
      <c r="R65" s="24"/>
      <c r="S65" s="86"/>
      <c r="T65" s="103"/>
      <c r="U65" s="73"/>
      <c r="V65" s="24"/>
      <c r="W65" s="24"/>
      <c r="X65" s="24"/>
      <c r="Y65" s="24"/>
      <c r="Z65" s="24">
        <v>1</v>
      </c>
      <c r="AA65" s="24">
        <v>1</v>
      </c>
      <c r="AB65" s="24"/>
      <c r="AC65" s="24"/>
      <c r="AD65" s="24"/>
      <c r="AE65" s="24"/>
      <c r="AF65" s="24"/>
      <c r="AG65" s="24"/>
      <c r="AH65" s="24"/>
      <c r="AI65" s="24"/>
      <c r="AJ65" s="24"/>
      <c r="AK65" s="24">
        <v>1</v>
      </c>
      <c r="AL65" s="24">
        <v>1</v>
      </c>
      <c r="AM65" s="24"/>
      <c r="AN65" s="24"/>
      <c r="AO65" s="24"/>
      <c r="AP65" s="24"/>
      <c r="AQ65" s="24"/>
      <c r="AR65" s="24"/>
      <c r="AS65" s="24"/>
      <c r="AT65" s="24"/>
      <c r="AU65" s="24">
        <v>1</v>
      </c>
      <c r="AV65" s="24"/>
      <c r="AW65" s="24"/>
      <c r="AX65" s="24"/>
      <c r="AY65" s="24"/>
      <c r="AZ65" s="24"/>
      <c r="BA65" s="24"/>
      <c r="BB65" s="24"/>
      <c r="BC65" s="24"/>
      <c r="BD65" s="74"/>
      <c r="BE65" s="73"/>
      <c r="BF65" s="24"/>
      <c r="BG65" s="24"/>
      <c r="BH65" s="24">
        <v>1</v>
      </c>
      <c r="BI65" s="86"/>
      <c r="BJ65" s="24">
        <v>1</v>
      </c>
      <c r="BK65" s="95"/>
      <c r="BL65" s="73"/>
      <c r="BM65" s="24"/>
      <c r="BN65" s="24">
        <v>1</v>
      </c>
      <c r="BO65" s="24"/>
      <c r="BP65" s="24"/>
      <c r="BQ65" s="24"/>
      <c r="BR65" s="24">
        <v>1</v>
      </c>
      <c r="BS65" s="24"/>
      <c r="BT65" s="74"/>
    </row>
    <row r="66" spans="1:72" s="25" customFormat="1" x14ac:dyDescent="0.25">
      <c r="A66" s="23">
        <v>292</v>
      </c>
      <c r="B66" s="21" t="s">
        <v>57</v>
      </c>
      <c r="C66" s="21" t="s">
        <v>64</v>
      </c>
      <c r="D66" s="148" t="s">
        <v>358</v>
      </c>
      <c r="E66" s="149">
        <v>2000000</v>
      </c>
      <c r="F66" s="148" t="s">
        <v>358</v>
      </c>
      <c r="G66" s="149">
        <v>7000000</v>
      </c>
      <c r="H66" s="148" t="s">
        <v>4</v>
      </c>
      <c r="I66" s="148" t="s">
        <v>356</v>
      </c>
      <c r="J66" s="148" t="s">
        <v>356</v>
      </c>
      <c r="K66" s="148" t="s">
        <v>357</v>
      </c>
      <c r="L66" s="148" t="s">
        <v>356</v>
      </c>
      <c r="M66" s="66">
        <f t="shared" si="51"/>
        <v>1221159.9003999999</v>
      </c>
      <c r="N66" s="73">
        <f>138513.11275</f>
        <v>138513.11275</v>
      </c>
      <c r="O66" s="24">
        <f>122781.2938+145988.5385+298301.5107+411093.34194+38904.10162+11229.58592</f>
        <v>1028298.37248</v>
      </c>
      <c r="P66" s="24">
        <f>37332.44165+10010.011+7005.96252</f>
        <v>54348.41517</v>
      </c>
      <c r="Q66" s="24"/>
      <c r="R66" s="24"/>
      <c r="S66" s="86"/>
      <c r="T66" s="103"/>
      <c r="U66" s="73">
        <v>1</v>
      </c>
      <c r="V66" s="24">
        <v>1</v>
      </c>
      <c r="W66" s="24">
        <v>1</v>
      </c>
      <c r="X66" s="24"/>
      <c r="Y66" s="24">
        <v>1</v>
      </c>
      <c r="Z66" s="24">
        <v>1</v>
      </c>
      <c r="AA66" s="24">
        <v>1</v>
      </c>
      <c r="AB66" s="24">
        <v>1</v>
      </c>
      <c r="AC66" s="24">
        <v>1</v>
      </c>
      <c r="AD66" s="24">
        <v>1</v>
      </c>
      <c r="AE66" s="24">
        <v>1</v>
      </c>
      <c r="AF66" s="24"/>
      <c r="AG66" s="24"/>
      <c r="AH66" s="24"/>
      <c r="AI66" s="24"/>
      <c r="AJ66" s="24">
        <v>1</v>
      </c>
      <c r="AK66" s="24"/>
      <c r="AL66" s="24">
        <v>1</v>
      </c>
      <c r="AM66" s="24">
        <v>1</v>
      </c>
      <c r="AN66" s="24">
        <v>1</v>
      </c>
      <c r="AO66" s="24">
        <v>1</v>
      </c>
      <c r="AP66" s="24"/>
      <c r="AQ66" s="24"/>
      <c r="AR66" s="24">
        <v>1</v>
      </c>
      <c r="AS66" s="24">
        <v>1</v>
      </c>
      <c r="AT66" s="24"/>
      <c r="AU66" s="24"/>
      <c r="AV66" s="24"/>
      <c r="AW66" s="24"/>
      <c r="AX66" s="24"/>
      <c r="AY66" s="24">
        <v>1</v>
      </c>
      <c r="AZ66" s="24"/>
      <c r="BA66" s="24"/>
      <c r="BB66" s="24">
        <v>1</v>
      </c>
      <c r="BC66" s="24"/>
      <c r="BD66" s="74"/>
      <c r="BE66" s="73"/>
      <c r="BF66" s="24"/>
      <c r="BG66" s="24">
        <v>1</v>
      </c>
      <c r="BH66" s="24">
        <v>1</v>
      </c>
      <c r="BI66" s="86"/>
      <c r="BJ66" s="24">
        <v>1</v>
      </c>
      <c r="BK66" s="95"/>
      <c r="BL66" s="73"/>
      <c r="BM66" s="24"/>
      <c r="BN66" s="24"/>
      <c r="BO66" s="24"/>
      <c r="BP66" s="24">
        <v>1</v>
      </c>
      <c r="BQ66" s="24"/>
      <c r="BR66" s="24"/>
      <c r="BS66" s="24"/>
      <c r="BT66" s="74"/>
    </row>
    <row r="67" spans="1:72" s="120" customFormat="1" x14ac:dyDescent="0.25">
      <c r="A67" s="111">
        <v>298</v>
      </c>
      <c r="B67" s="112" t="s">
        <v>2</v>
      </c>
      <c r="C67" s="112" t="s">
        <v>65</v>
      </c>
      <c r="D67" s="153"/>
      <c r="E67" s="156"/>
      <c r="F67" s="153"/>
      <c r="G67" s="156"/>
      <c r="H67" s="153" t="s">
        <v>361</v>
      </c>
      <c r="I67" s="153"/>
      <c r="J67" s="153"/>
      <c r="K67" s="153"/>
      <c r="L67" s="153"/>
      <c r="M67" s="113">
        <f t="shared" si="51"/>
        <v>0</v>
      </c>
      <c r="N67" s="114"/>
      <c r="O67" s="115"/>
      <c r="P67" s="115"/>
      <c r="Q67" s="115"/>
      <c r="R67" s="115"/>
      <c r="S67" s="116"/>
      <c r="T67" s="117"/>
      <c r="U67" s="114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8"/>
      <c r="BE67" s="114"/>
      <c r="BF67" s="115"/>
      <c r="BG67" s="115"/>
      <c r="BH67" s="115"/>
      <c r="BI67" s="116"/>
      <c r="BJ67" s="115"/>
      <c r="BK67" s="119"/>
      <c r="BL67" s="114"/>
      <c r="BM67" s="115"/>
      <c r="BN67" s="115"/>
      <c r="BO67" s="115"/>
      <c r="BP67" s="115"/>
      <c r="BQ67" s="115"/>
      <c r="BR67" s="115"/>
      <c r="BS67" s="115"/>
      <c r="BT67" s="118"/>
    </row>
    <row r="68" spans="1:72" s="25" customFormat="1" x14ac:dyDescent="0.25">
      <c r="A68" s="23">
        <v>304</v>
      </c>
      <c r="B68" s="21" t="s">
        <v>2</v>
      </c>
      <c r="C68" s="21" t="s">
        <v>66</v>
      </c>
      <c r="D68" s="148" t="s">
        <v>354</v>
      </c>
      <c r="E68" s="149">
        <v>500000</v>
      </c>
      <c r="F68" s="148" t="s">
        <v>7</v>
      </c>
      <c r="G68" s="149">
        <v>200000</v>
      </c>
      <c r="H68" s="148" t="s">
        <v>4</v>
      </c>
      <c r="I68" s="148" t="s">
        <v>356</v>
      </c>
      <c r="J68" s="148" t="s">
        <v>357</v>
      </c>
      <c r="K68" s="148" t="s">
        <v>357</v>
      </c>
      <c r="L68" s="148" t="s">
        <v>356</v>
      </c>
      <c r="M68" s="66">
        <f t="shared" si="51"/>
        <v>91898.668999999994</v>
      </c>
      <c r="N68" s="73">
        <f>63914.641+20460.028+1680+1350+690+3804</f>
        <v>91898.668999999994</v>
      </c>
      <c r="O68" s="24"/>
      <c r="P68" s="24"/>
      <c r="Q68" s="24"/>
      <c r="R68" s="24"/>
      <c r="S68" s="86"/>
      <c r="T68" s="103"/>
      <c r="U68" s="73"/>
      <c r="V68" s="24"/>
      <c r="W68" s="24"/>
      <c r="X68" s="24"/>
      <c r="Y68" s="24"/>
      <c r="Z68" s="24">
        <v>1</v>
      </c>
      <c r="AA68" s="24">
        <v>1</v>
      </c>
      <c r="AB68" s="24">
        <v>1</v>
      </c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74"/>
      <c r="BE68" s="73"/>
      <c r="BF68" s="24"/>
      <c r="BG68" s="24"/>
      <c r="BH68" s="24">
        <v>1</v>
      </c>
      <c r="BI68" s="86"/>
      <c r="BJ68" s="24"/>
      <c r="BK68" s="95"/>
      <c r="BL68" s="73">
        <v>1</v>
      </c>
      <c r="BM68" s="24">
        <v>1</v>
      </c>
      <c r="BN68" s="24" t="s">
        <v>350</v>
      </c>
      <c r="BO68" s="24"/>
      <c r="BP68" s="24"/>
      <c r="BQ68" s="24"/>
      <c r="BR68" s="24"/>
      <c r="BS68" s="24"/>
      <c r="BT68" s="74"/>
    </row>
    <row r="69" spans="1:72" s="25" customFormat="1" x14ac:dyDescent="0.25">
      <c r="A69" s="23">
        <v>305</v>
      </c>
      <c r="B69" s="21" t="s">
        <v>2</v>
      </c>
      <c r="C69" s="21" t="s">
        <v>67</v>
      </c>
      <c r="D69" s="148" t="s">
        <v>7</v>
      </c>
      <c r="E69" s="149">
        <v>300000</v>
      </c>
      <c r="F69" s="148"/>
      <c r="G69" s="148"/>
      <c r="H69" s="148" t="s">
        <v>4</v>
      </c>
      <c r="I69" s="148" t="s">
        <v>356</v>
      </c>
      <c r="J69" s="148" t="s">
        <v>357</v>
      </c>
      <c r="K69" s="148" t="s">
        <v>357</v>
      </c>
      <c r="L69" s="148" t="s">
        <v>357</v>
      </c>
      <c r="M69" s="66">
        <f t="shared" si="51"/>
        <v>110548.25199999999</v>
      </c>
      <c r="N69" s="73">
        <f>42222.095+22466.392+28664.47+17195.295</f>
        <v>110548.25199999999</v>
      </c>
      <c r="O69" s="24"/>
      <c r="P69" s="24"/>
      <c r="Q69" s="24"/>
      <c r="R69" s="24"/>
      <c r="S69" s="86"/>
      <c r="T69" s="103"/>
      <c r="U69" s="73"/>
      <c r="V69" s="24"/>
      <c r="W69" s="24"/>
      <c r="X69" s="24"/>
      <c r="Y69" s="24"/>
      <c r="Z69" s="24">
        <v>1</v>
      </c>
      <c r="AA69" s="24">
        <v>1</v>
      </c>
      <c r="AB69" s="24">
        <v>1</v>
      </c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74"/>
      <c r="BE69" s="73"/>
      <c r="BF69" s="24"/>
      <c r="BG69" s="24"/>
      <c r="BH69" s="24">
        <v>1</v>
      </c>
      <c r="BI69" s="86"/>
      <c r="BJ69" s="24"/>
      <c r="BK69" s="95"/>
      <c r="BL69" s="73">
        <v>1</v>
      </c>
      <c r="BM69" s="24">
        <v>1</v>
      </c>
      <c r="BN69" s="24"/>
      <c r="BO69" s="24"/>
      <c r="BP69" s="24"/>
      <c r="BQ69" s="24"/>
      <c r="BR69" s="24"/>
      <c r="BS69" s="24"/>
      <c r="BT69" s="74"/>
    </row>
    <row r="70" spans="1:72" s="25" customFormat="1" ht="47.25" x14ac:dyDescent="0.25">
      <c r="A70" s="23">
        <v>306</v>
      </c>
      <c r="B70" s="21" t="s">
        <v>2</v>
      </c>
      <c r="C70" s="21" t="s">
        <v>68</v>
      </c>
      <c r="D70" s="148" t="s">
        <v>358</v>
      </c>
      <c r="E70" s="149">
        <v>2000000</v>
      </c>
      <c r="F70" s="148" t="s">
        <v>358</v>
      </c>
      <c r="G70" s="149">
        <v>7000000</v>
      </c>
      <c r="H70" s="148" t="s">
        <v>4</v>
      </c>
      <c r="I70" s="148" t="s">
        <v>356</v>
      </c>
      <c r="J70" s="148" t="s">
        <v>356</v>
      </c>
      <c r="K70" s="148" t="s">
        <v>357</v>
      </c>
      <c r="L70" s="148" t="s">
        <v>356</v>
      </c>
      <c r="M70" s="66">
        <f t="shared" ref="M70:M133" si="52">SUM(N70:S70)</f>
        <v>2056988.43603</v>
      </c>
      <c r="N70" s="73">
        <f>1002092.14087+142205.13516</f>
        <v>1144297.2760300001</v>
      </c>
      <c r="O70" s="24">
        <v>912691.16</v>
      </c>
      <c r="P70" s="24"/>
      <c r="Q70" s="24"/>
      <c r="R70" s="24"/>
      <c r="S70" s="86"/>
      <c r="T70" s="103">
        <v>8</v>
      </c>
      <c r="U70" s="73">
        <v>1</v>
      </c>
      <c r="V70" s="24">
        <v>1</v>
      </c>
      <c r="W70" s="24">
        <v>1</v>
      </c>
      <c r="X70" s="24">
        <v>1</v>
      </c>
      <c r="Y70" s="24">
        <v>1</v>
      </c>
      <c r="Z70" s="24">
        <v>1</v>
      </c>
      <c r="AA70" s="24">
        <v>1</v>
      </c>
      <c r="AB70" s="24">
        <v>1</v>
      </c>
      <c r="AC70" s="24">
        <v>1</v>
      </c>
      <c r="AD70" s="24">
        <v>1</v>
      </c>
      <c r="AE70" s="24">
        <v>1</v>
      </c>
      <c r="AF70" s="24">
        <v>1</v>
      </c>
      <c r="AG70" s="24">
        <v>1</v>
      </c>
      <c r="AH70" s="24">
        <v>1</v>
      </c>
      <c r="AI70" s="24">
        <v>1</v>
      </c>
      <c r="AJ70" s="24">
        <v>1</v>
      </c>
      <c r="AK70" s="24">
        <v>1</v>
      </c>
      <c r="AL70" s="24"/>
      <c r="AM70" s="24">
        <v>1</v>
      </c>
      <c r="AN70" s="24">
        <v>1</v>
      </c>
      <c r="AO70" s="24">
        <v>1</v>
      </c>
      <c r="AP70" s="24">
        <v>1</v>
      </c>
      <c r="AQ70" s="24">
        <v>1</v>
      </c>
      <c r="AR70" s="24">
        <v>1</v>
      </c>
      <c r="AS70" s="24">
        <v>1</v>
      </c>
      <c r="AT70" s="24">
        <v>1</v>
      </c>
      <c r="AU70" s="24">
        <v>1</v>
      </c>
      <c r="AV70" s="24">
        <v>1</v>
      </c>
      <c r="AW70" s="24"/>
      <c r="AX70" s="24"/>
      <c r="AY70" s="24"/>
      <c r="AZ70" s="24"/>
      <c r="BA70" s="24">
        <v>1</v>
      </c>
      <c r="BB70" s="24"/>
      <c r="BC70" s="24">
        <v>1</v>
      </c>
      <c r="BD70" s="74"/>
      <c r="BE70" s="73"/>
      <c r="BF70" s="24"/>
      <c r="BG70" s="24">
        <v>1</v>
      </c>
      <c r="BH70" s="24">
        <v>1</v>
      </c>
      <c r="BI70" s="86"/>
      <c r="BJ70" s="24"/>
      <c r="BK70" s="95">
        <v>1</v>
      </c>
      <c r="BL70" s="73"/>
      <c r="BM70" s="24"/>
      <c r="BN70" s="24">
        <v>1</v>
      </c>
      <c r="BO70" s="24"/>
      <c r="BP70" s="24"/>
      <c r="BQ70" s="24"/>
      <c r="BR70" s="24"/>
      <c r="BS70" s="24"/>
      <c r="BT70" s="74"/>
    </row>
    <row r="71" spans="1:72" s="25" customFormat="1" x14ac:dyDescent="0.25">
      <c r="A71" s="23">
        <v>308</v>
      </c>
      <c r="B71" s="21" t="s">
        <v>2</v>
      </c>
      <c r="C71" s="21" t="s">
        <v>69</v>
      </c>
      <c r="D71" s="148" t="s">
        <v>355</v>
      </c>
      <c r="E71" s="149">
        <v>1500000</v>
      </c>
      <c r="F71" s="148" t="s">
        <v>355</v>
      </c>
      <c r="G71" s="149">
        <v>4500000</v>
      </c>
      <c r="H71" s="148" t="s">
        <v>4</v>
      </c>
      <c r="I71" s="148" t="s">
        <v>356</v>
      </c>
      <c r="J71" s="148" t="s">
        <v>357</v>
      </c>
      <c r="K71" s="148" t="s">
        <v>357</v>
      </c>
      <c r="L71" s="148" t="s">
        <v>356</v>
      </c>
      <c r="M71" s="66">
        <f t="shared" si="52"/>
        <v>1664376.6199999999</v>
      </c>
      <c r="N71" s="73"/>
      <c r="O71" s="24"/>
      <c r="P71" s="24">
        <f>7865.89+8405.34+12337.06+10432.45+2327.34+3736.11+16584.71+1717.66+1818.34+1692.17+22141.1+3018.25+2347.67+3678.2+3602.66+2861.1+2926.35+2506.84+1916.56+1604.23+6147.69+18238.81+3683.49+9796.33+1935.88+3324.37+3514.78+3364.55+13997.92+7001.89+7229.52+5808.98+690.86+7477.1+7390.11+7973.01+7642.28+7134.56+122.31+4509.98+7551.89+8182.52+7151.18+9382.78+9294.36+18007.41+17777.6+19525+19351+711.04+421.07+2214.46+7421.88+10329.6+51724.37+18455.47+13860.84+11157.9+25441.37+4685.48+5859.88+1279.68+5671.46+5786.1+20491.6+17582.93+10505.36+22228+17969.78+17958.22+20239.1+21898.6+11980.6+20320.53+2538.21+1501.8+1540.42+3169.85+3346.68+3419.68+3315.34+8670.2+3564.31+6702.36+3147.44+54451.58+54336.6+4773.6+12238.5+16847.4+35013.7+36301.82+40002.08+40327.71+22147.15+1239.36+2011.59+2041.08+2290.07+2223.3+14656.2+54309.3+8569.02+37918.15+28515.23+36296.1+40422.2+40212.01+1651.48+1261.61+2009.26+2374.83+2937.15+7283.44+6688.92+5138.15+7085.6+2095.03+6080.88+10001.64+53972.87+38657.71+33333.89+36003.57+45272.46+50128.27+21416.31</f>
        <v>1664376.6199999999</v>
      </c>
      <c r="Q71" s="24"/>
      <c r="R71" s="24"/>
      <c r="S71" s="86"/>
      <c r="T71" s="103"/>
      <c r="U71" s="73"/>
      <c r="V71" s="24"/>
      <c r="W71" s="24"/>
      <c r="X71" s="24"/>
      <c r="Y71" s="24"/>
      <c r="Z71" s="24"/>
      <c r="AA71" s="24"/>
      <c r="AB71" s="24"/>
      <c r="AC71" s="24">
        <v>1</v>
      </c>
      <c r="AD71" s="24">
        <v>1</v>
      </c>
      <c r="AE71" s="24">
        <v>1</v>
      </c>
      <c r="AF71" s="24"/>
      <c r="AG71" s="24">
        <v>1</v>
      </c>
      <c r="AH71" s="24">
        <v>1</v>
      </c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74"/>
      <c r="BE71" s="73"/>
      <c r="BF71" s="24"/>
      <c r="BG71" s="24">
        <v>1</v>
      </c>
      <c r="BH71" s="24"/>
      <c r="BI71" s="86"/>
      <c r="BJ71" s="24"/>
      <c r="BK71" s="95"/>
      <c r="BL71" s="73">
        <v>1</v>
      </c>
      <c r="BM71" s="24"/>
      <c r="BN71" s="24"/>
      <c r="BO71" s="24"/>
      <c r="BP71" s="24"/>
      <c r="BQ71" s="24"/>
      <c r="BR71" s="24"/>
      <c r="BS71" s="24"/>
      <c r="BT71" s="74"/>
    </row>
    <row r="72" spans="1:72" s="25" customFormat="1" x14ac:dyDescent="0.25">
      <c r="A72" s="23">
        <v>309</v>
      </c>
      <c r="B72" s="21" t="s">
        <v>2</v>
      </c>
      <c r="C72" s="21" t="s">
        <v>70</v>
      </c>
      <c r="D72" s="148" t="s">
        <v>7</v>
      </c>
      <c r="E72" s="149">
        <v>100000</v>
      </c>
      <c r="F72" s="148" t="s">
        <v>7</v>
      </c>
      <c r="G72" s="149">
        <v>271434.02</v>
      </c>
      <c r="H72" s="148" t="s">
        <v>4</v>
      </c>
      <c r="I72" s="148" t="s">
        <v>356</v>
      </c>
      <c r="J72" s="148" t="s">
        <v>357</v>
      </c>
      <c r="K72" s="148" t="s">
        <v>357</v>
      </c>
      <c r="L72" s="148" t="s">
        <v>356</v>
      </c>
      <c r="M72" s="66">
        <f t="shared" si="52"/>
        <v>33900</v>
      </c>
      <c r="N72" s="73"/>
      <c r="O72" s="24"/>
      <c r="P72" s="24">
        <f>18900+15000</f>
        <v>33900</v>
      </c>
      <c r="Q72" s="24"/>
      <c r="R72" s="24"/>
      <c r="S72" s="86"/>
      <c r="T72" s="103"/>
      <c r="U72" s="73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>
        <v>1</v>
      </c>
      <c r="AH72" s="24"/>
      <c r="AI72" s="24"/>
      <c r="AJ72" s="24"/>
      <c r="AK72" s="24"/>
      <c r="AL72" s="24">
        <v>1</v>
      </c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74"/>
      <c r="BE72" s="73"/>
      <c r="BF72" s="24"/>
      <c r="BG72" s="24"/>
      <c r="BH72" s="24">
        <v>1</v>
      </c>
      <c r="BI72" s="86"/>
      <c r="BJ72" s="24"/>
      <c r="BK72" s="95"/>
      <c r="BL72" s="73"/>
      <c r="BM72" s="24"/>
      <c r="BN72" s="24">
        <v>1</v>
      </c>
      <c r="BO72" s="24"/>
      <c r="BP72" s="24"/>
      <c r="BQ72" s="24"/>
      <c r="BR72" s="24"/>
      <c r="BS72" s="24"/>
      <c r="BT72" s="74"/>
    </row>
    <row r="73" spans="1:72" s="25" customFormat="1" x14ac:dyDescent="0.25">
      <c r="A73" s="23">
        <v>310</v>
      </c>
      <c r="B73" s="21" t="s">
        <v>2</v>
      </c>
      <c r="C73" s="21" t="s">
        <v>71</v>
      </c>
      <c r="D73" s="148" t="s">
        <v>7</v>
      </c>
      <c r="E73" s="149">
        <v>300000</v>
      </c>
      <c r="F73" s="148"/>
      <c r="G73" s="148"/>
      <c r="H73" s="148" t="s">
        <v>4</v>
      </c>
      <c r="I73" s="148" t="s">
        <v>356</v>
      </c>
      <c r="J73" s="148" t="s">
        <v>357</v>
      </c>
      <c r="K73" s="148" t="s">
        <v>357</v>
      </c>
      <c r="L73" s="148" t="s">
        <v>357</v>
      </c>
      <c r="M73" s="66">
        <f t="shared" si="52"/>
        <v>4100</v>
      </c>
      <c r="N73" s="73"/>
      <c r="O73" s="24"/>
      <c r="P73" s="24">
        <v>4100</v>
      </c>
      <c r="Q73" s="24"/>
      <c r="R73" s="24"/>
      <c r="S73" s="86"/>
      <c r="T73" s="103"/>
      <c r="U73" s="73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>
        <v>1</v>
      </c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74"/>
      <c r="BE73" s="73"/>
      <c r="BF73" s="24"/>
      <c r="BG73" s="24"/>
      <c r="BH73" s="24"/>
      <c r="BI73" s="86"/>
      <c r="BJ73" s="24">
        <v>1</v>
      </c>
      <c r="BK73" s="95"/>
      <c r="BL73" s="73"/>
      <c r="BM73" s="24"/>
      <c r="BN73" s="24"/>
      <c r="BO73" s="24"/>
      <c r="BP73" s="24"/>
      <c r="BQ73" s="24"/>
      <c r="BR73" s="24">
        <v>1</v>
      </c>
      <c r="BS73" s="24"/>
      <c r="BT73" s="74"/>
    </row>
    <row r="74" spans="1:72" s="142" customFormat="1" x14ac:dyDescent="0.25">
      <c r="A74" s="133">
        <v>312</v>
      </c>
      <c r="B74" s="134" t="s">
        <v>2</v>
      </c>
      <c r="C74" s="134" t="s">
        <v>72</v>
      </c>
      <c r="D74" s="154" t="s">
        <v>7</v>
      </c>
      <c r="E74" s="155">
        <v>100000</v>
      </c>
      <c r="F74" s="154" t="s">
        <v>7</v>
      </c>
      <c r="G74" s="155">
        <v>200000</v>
      </c>
      <c r="H74" s="154" t="s">
        <v>359</v>
      </c>
      <c r="I74" s="154" t="s">
        <v>356</v>
      </c>
      <c r="J74" s="154" t="s">
        <v>357</v>
      </c>
      <c r="K74" s="154" t="s">
        <v>357</v>
      </c>
      <c r="L74" s="154" t="s">
        <v>356</v>
      </c>
      <c r="M74" s="135">
        <f t="shared" si="52"/>
        <v>26614</v>
      </c>
      <c r="N74" s="136"/>
      <c r="O74" s="137">
        <f>9342+6533+10739</f>
        <v>26614</v>
      </c>
      <c r="P74" s="137"/>
      <c r="Q74" s="137"/>
      <c r="R74" s="137"/>
      <c r="S74" s="138"/>
      <c r="T74" s="139"/>
      <c r="U74" s="136">
        <v>1</v>
      </c>
      <c r="V74" s="137">
        <v>1</v>
      </c>
      <c r="W74" s="137">
        <v>1</v>
      </c>
      <c r="X74" s="137">
        <v>1</v>
      </c>
      <c r="Y74" s="137"/>
      <c r="Z74" s="137">
        <v>1</v>
      </c>
      <c r="AA74" s="137">
        <v>1</v>
      </c>
      <c r="AB74" s="137"/>
      <c r="AC74" s="137"/>
      <c r="AD74" s="137"/>
      <c r="AE74" s="137"/>
      <c r="AF74" s="137"/>
      <c r="AG74" s="137">
        <v>1</v>
      </c>
      <c r="AH74" s="137">
        <v>1</v>
      </c>
      <c r="AI74" s="137">
        <v>1</v>
      </c>
      <c r="AJ74" s="137"/>
      <c r="AK74" s="137">
        <v>1</v>
      </c>
      <c r="AL74" s="137">
        <v>1</v>
      </c>
      <c r="AM74" s="137">
        <v>1</v>
      </c>
      <c r="AN74" s="137">
        <v>1</v>
      </c>
      <c r="AO74" s="137">
        <v>1</v>
      </c>
      <c r="AP74" s="137">
        <v>1</v>
      </c>
      <c r="AQ74" s="137"/>
      <c r="AR74" s="137"/>
      <c r="AS74" s="137">
        <v>1</v>
      </c>
      <c r="AT74" s="137"/>
      <c r="AU74" s="137">
        <v>1</v>
      </c>
      <c r="AV74" s="137">
        <v>1</v>
      </c>
      <c r="AW74" s="137"/>
      <c r="AX74" s="137"/>
      <c r="AY74" s="137"/>
      <c r="AZ74" s="137"/>
      <c r="BA74" s="137"/>
      <c r="BB74" s="137"/>
      <c r="BC74" s="137">
        <v>1</v>
      </c>
      <c r="BD74" s="140"/>
      <c r="BE74" s="136"/>
      <c r="BF74" s="137"/>
      <c r="BG74" s="137"/>
      <c r="BH74" s="137">
        <v>1</v>
      </c>
      <c r="BI74" s="138"/>
      <c r="BJ74" s="137"/>
      <c r="BK74" s="141"/>
      <c r="BL74" s="136"/>
      <c r="BM74" s="137">
        <v>1</v>
      </c>
      <c r="BN74" s="137">
        <v>1</v>
      </c>
      <c r="BO74" s="137"/>
      <c r="BP74" s="137"/>
      <c r="BQ74" s="137"/>
      <c r="BR74" s="137"/>
      <c r="BS74" s="137"/>
      <c r="BT74" s="140"/>
    </row>
    <row r="75" spans="1:72" s="25" customFormat="1" ht="31.5" x14ac:dyDescent="0.25">
      <c r="A75" s="23">
        <v>315</v>
      </c>
      <c r="B75" s="21" t="s">
        <v>2</v>
      </c>
      <c r="C75" s="21" t="s">
        <v>73</v>
      </c>
      <c r="D75" s="148" t="s">
        <v>354</v>
      </c>
      <c r="E75" s="149">
        <v>500000</v>
      </c>
      <c r="F75" s="148" t="s">
        <v>7</v>
      </c>
      <c r="G75" s="149">
        <v>200000</v>
      </c>
      <c r="H75" s="148" t="s">
        <v>4</v>
      </c>
      <c r="I75" s="148" t="s">
        <v>356</v>
      </c>
      <c r="J75" s="148" t="s">
        <v>356</v>
      </c>
      <c r="K75" s="148" t="s">
        <v>357</v>
      </c>
      <c r="L75" s="148" t="s">
        <v>356</v>
      </c>
      <c r="M75" s="66">
        <f t="shared" si="52"/>
        <v>234467.69200000001</v>
      </c>
      <c r="N75" s="73">
        <f>75.658+619.304+282.005+9647.726+28331.939+29249.582+6420+9400+1244.086+1266.61+16863.378+3803.933+8223.974+2947+10368.083+2936.177+7050+5277.839+5335.91+417.772+1079.933+12737.597+16637.2+5669.325+659.752+16058.04+3199.842+10528.447+672.886+1445.148+9170.609+4034.687+2813.25</f>
        <v>234467.69200000001</v>
      </c>
      <c r="O75" s="24"/>
      <c r="P75" s="24"/>
      <c r="Q75" s="24"/>
      <c r="R75" s="24"/>
      <c r="S75" s="86"/>
      <c r="T75" s="103">
        <v>8</v>
      </c>
      <c r="U75" s="73"/>
      <c r="V75" s="24">
        <v>1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>
        <v>1</v>
      </c>
      <c r="AH75" s="24"/>
      <c r="AI75" s="24">
        <v>1</v>
      </c>
      <c r="AJ75" s="24"/>
      <c r="AK75" s="24">
        <v>1</v>
      </c>
      <c r="AL75" s="24">
        <v>1</v>
      </c>
      <c r="AM75" s="24">
        <v>1</v>
      </c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74"/>
      <c r="BE75" s="73"/>
      <c r="BF75" s="24"/>
      <c r="BG75" s="24"/>
      <c r="BH75" s="24">
        <v>1</v>
      </c>
      <c r="BI75" s="86"/>
      <c r="BJ75" s="24"/>
      <c r="BK75" s="95"/>
      <c r="BL75" s="73"/>
      <c r="BM75" s="24"/>
      <c r="BN75" s="24"/>
      <c r="BO75" s="24"/>
      <c r="BP75" s="24"/>
      <c r="BQ75" s="24"/>
      <c r="BR75" s="24">
        <v>1</v>
      </c>
      <c r="BS75" s="24"/>
      <c r="BT75" s="74"/>
    </row>
    <row r="76" spans="1:72" s="25" customFormat="1" x14ac:dyDescent="0.25">
      <c r="A76" s="23">
        <v>316</v>
      </c>
      <c r="B76" s="21" t="s">
        <v>2</v>
      </c>
      <c r="C76" s="21" t="s">
        <v>74</v>
      </c>
      <c r="D76" s="148" t="s">
        <v>358</v>
      </c>
      <c r="E76" s="149">
        <v>2000000</v>
      </c>
      <c r="F76" s="148" t="s">
        <v>7</v>
      </c>
      <c r="G76" s="149">
        <v>200000</v>
      </c>
      <c r="H76" s="148" t="s">
        <v>4</v>
      </c>
      <c r="I76" s="148" t="s">
        <v>356</v>
      </c>
      <c r="J76" s="148" t="s">
        <v>356</v>
      </c>
      <c r="K76" s="148" t="s">
        <v>357</v>
      </c>
      <c r="L76" s="148" t="s">
        <v>356</v>
      </c>
      <c r="M76" s="66">
        <f t="shared" si="52"/>
        <v>19427472.790000003</v>
      </c>
      <c r="N76" s="73">
        <f>1277061.39+641986.11+354789.71+271534.7+1349950.98+9346415+601850.08+5516431.4</f>
        <v>19360019.370000001</v>
      </c>
      <c r="O76" s="24"/>
      <c r="P76" s="24">
        <v>67453.42</v>
      </c>
      <c r="Q76" s="24"/>
      <c r="R76" s="24"/>
      <c r="S76" s="86"/>
      <c r="T76" s="103"/>
      <c r="U76" s="73">
        <v>1</v>
      </c>
      <c r="V76" s="24"/>
      <c r="W76" s="24"/>
      <c r="X76" s="24"/>
      <c r="Y76" s="24"/>
      <c r="Z76" s="24">
        <v>1</v>
      </c>
      <c r="AA76" s="24">
        <v>1</v>
      </c>
      <c r="AB76" s="24"/>
      <c r="AC76" s="24"/>
      <c r="AD76" s="24"/>
      <c r="AE76" s="24"/>
      <c r="AF76" s="24"/>
      <c r="AG76" s="24">
        <v>1</v>
      </c>
      <c r="AH76" s="24">
        <v>1</v>
      </c>
      <c r="AI76" s="24">
        <v>1</v>
      </c>
      <c r="AJ76" s="24"/>
      <c r="AK76" s="24"/>
      <c r="AL76" s="24">
        <v>1</v>
      </c>
      <c r="AM76" s="24"/>
      <c r="AN76" s="24"/>
      <c r="AO76" s="24"/>
      <c r="AP76" s="24"/>
      <c r="AQ76" s="24"/>
      <c r="AR76" s="24"/>
      <c r="AS76" s="24"/>
      <c r="AT76" s="24"/>
      <c r="AU76" s="24">
        <v>1</v>
      </c>
      <c r="AV76" s="24"/>
      <c r="AW76" s="24"/>
      <c r="AX76" s="24"/>
      <c r="AY76" s="24">
        <v>1</v>
      </c>
      <c r="AZ76" s="24"/>
      <c r="BA76" s="24"/>
      <c r="BB76" s="24"/>
      <c r="BC76" s="24"/>
      <c r="BD76" s="74"/>
      <c r="BE76" s="73"/>
      <c r="BF76" s="24"/>
      <c r="BG76" s="24">
        <v>1</v>
      </c>
      <c r="BH76" s="24"/>
      <c r="BI76" s="86"/>
      <c r="BJ76" s="24">
        <v>1</v>
      </c>
      <c r="BK76" s="95"/>
      <c r="BL76" s="73"/>
      <c r="BM76" s="24"/>
      <c r="BN76" s="24"/>
      <c r="BO76" s="24"/>
      <c r="BP76" s="24"/>
      <c r="BQ76" s="24"/>
      <c r="BR76" s="24">
        <v>1</v>
      </c>
      <c r="BS76" s="24"/>
      <c r="BT76" s="74"/>
    </row>
    <row r="77" spans="1:72" s="25" customFormat="1" x14ac:dyDescent="0.25">
      <c r="A77" s="23">
        <v>317</v>
      </c>
      <c r="B77" s="21" t="s">
        <v>2</v>
      </c>
      <c r="C77" s="21" t="s">
        <v>75</v>
      </c>
      <c r="D77" s="148" t="s">
        <v>355</v>
      </c>
      <c r="E77" s="149">
        <v>1500000</v>
      </c>
      <c r="F77" s="148" t="s">
        <v>7</v>
      </c>
      <c r="G77" s="149">
        <v>200000</v>
      </c>
      <c r="H77" s="148" t="s">
        <v>4</v>
      </c>
      <c r="I77" s="148" t="s">
        <v>356</v>
      </c>
      <c r="J77" s="148" t="s">
        <v>357</v>
      </c>
      <c r="K77" s="148" t="s">
        <v>357</v>
      </c>
      <c r="L77" s="148" t="s">
        <v>356</v>
      </c>
      <c r="M77" s="66">
        <f t="shared" si="52"/>
        <v>32379.464</v>
      </c>
      <c r="N77" s="73"/>
      <c r="O77" s="24"/>
      <c r="P77" s="24"/>
      <c r="Q77" s="24"/>
      <c r="R77" s="24">
        <f>16189.732+16189.732</f>
        <v>32379.464</v>
      </c>
      <c r="S77" s="86"/>
      <c r="T77" s="103"/>
      <c r="U77" s="73"/>
      <c r="V77" s="24">
        <v>1</v>
      </c>
      <c r="W77" s="24"/>
      <c r="X77" s="24"/>
      <c r="Y77" s="24"/>
      <c r="Z77" s="24"/>
      <c r="AA77" s="24">
        <v>1</v>
      </c>
      <c r="AB77" s="24">
        <v>1</v>
      </c>
      <c r="AC77" s="24">
        <v>1</v>
      </c>
      <c r="AD77" s="24">
        <v>1</v>
      </c>
      <c r="AE77" s="24">
        <v>1</v>
      </c>
      <c r="AF77" s="24">
        <v>1</v>
      </c>
      <c r="AG77" s="24">
        <v>1</v>
      </c>
      <c r="AH77" s="24">
        <v>1</v>
      </c>
      <c r="AI77" s="24">
        <v>1</v>
      </c>
      <c r="AJ77" s="24">
        <v>1</v>
      </c>
      <c r="AK77" s="24"/>
      <c r="AL77" s="24"/>
      <c r="AM77" s="24">
        <v>1</v>
      </c>
      <c r="AN77" s="24">
        <v>1</v>
      </c>
      <c r="AO77" s="24">
        <v>1</v>
      </c>
      <c r="AP77" s="24">
        <v>1</v>
      </c>
      <c r="AQ77" s="24">
        <v>1</v>
      </c>
      <c r="AR77" s="24">
        <v>1</v>
      </c>
      <c r="AS77" s="24"/>
      <c r="AT77" s="24"/>
      <c r="AU77" s="24"/>
      <c r="AV77" s="24"/>
      <c r="AW77" s="24"/>
      <c r="AX77" s="24"/>
      <c r="AY77" s="24"/>
      <c r="AZ77" s="24"/>
      <c r="BA77" s="24"/>
      <c r="BB77" s="24">
        <v>1</v>
      </c>
      <c r="BC77" s="24"/>
      <c r="BD77" s="74"/>
      <c r="BE77" s="73"/>
      <c r="BF77" s="24">
        <v>1</v>
      </c>
      <c r="BG77" s="24"/>
      <c r="BH77" s="24"/>
      <c r="BI77" s="86"/>
      <c r="BJ77" s="24"/>
      <c r="BK77" s="95"/>
      <c r="BL77" s="73"/>
      <c r="BM77" s="24"/>
      <c r="BN77" s="24"/>
      <c r="BO77" s="24"/>
      <c r="BP77" s="24"/>
      <c r="BQ77" s="24"/>
      <c r="BR77" s="24">
        <v>1</v>
      </c>
      <c r="BS77" s="24"/>
      <c r="BT77" s="74"/>
    </row>
    <row r="78" spans="1:72" s="25" customFormat="1" ht="31.5" x14ac:dyDescent="0.25">
      <c r="A78" s="23">
        <v>319</v>
      </c>
      <c r="B78" s="21" t="s">
        <v>2</v>
      </c>
      <c r="C78" s="21" t="s">
        <v>76</v>
      </c>
      <c r="D78" s="148" t="s">
        <v>7</v>
      </c>
      <c r="E78" s="149">
        <v>100000</v>
      </c>
      <c r="F78" s="148" t="s">
        <v>7</v>
      </c>
      <c r="G78" s="149">
        <v>200000</v>
      </c>
      <c r="H78" s="148" t="s">
        <v>4</v>
      </c>
      <c r="I78" s="148" t="s">
        <v>356</v>
      </c>
      <c r="J78" s="148" t="s">
        <v>357</v>
      </c>
      <c r="K78" s="148" t="s">
        <v>357</v>
      </c>
      <c r="L78" s="148" t="s">
        <v>356</v>
      </c>
      <c r="M78" s="66">
        <f t="shared" si="52"/>
        <v>597729</v>
      </c>
      <c r="N78" s="73">
        <f>7265+2825+18270+4879+530788+3395+3395+17337</f>
        <v>588154</v>
      </c>
      <c r="O78" s="24"/>
      <c r="P78" s="24">
        <f>2395+2830+4350</f>
        <v>9575</v>
      </c>
      <c r="Q78" s="24"/>
      <c r="R78" s="24"/>
      <c r="S78" s="86"/>
      <c r="T78" s="103"/>
      <c r="U78" s="7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>
        <v>1</v>
      </c>
      <c r="AK78" s="24">
        <v>1</v>
      </c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74"/>
      <c r="BE78" s="73"/>
      <c r="BF78" s="24"/>
      <c r="BG78" s="24"/>
      <c r="BH78" s="24">
        <v>1</v>
      </c>
      <c r="BI78" s="86"/>
      <c r="BJ78" s="24"/>
      <c r="BK78" s="95"/>
      <c r="BL78" s="73">
        <v>1</v>
      </c>
      <c r="BM78" s="24">
        <v>1</v>
      </c>
      <c r="BN78" s="24"/>
      <c r="BO78" s="24"/>
      <c r="BP78" s="24"/>
      <c r="BQ78" s="24"/>
      <c r="BR78" s="24"/>
      <c r="BS78" s="24">
        <v>1</v>
      </c>
      <c r="BT78" s="74"/>
    </row>
    <row r="79" spans="1:72" s="25" customFormat="1" ht="31.5" x14ac:dyDescent="0.25">
      <c r="A79" s="23">
        <v>320</v>
      </c>
      <c r="B79" s="21" t="s">
        <v>77</v>
      </c>
      <c r="C79" s="21" t="s">
        <v>78</v>
      </c>
      <c r="D79" s="148" t="s">
        <v>355</v>
      </c>
      <c r="E79" s="149">
        <v>1500000</v>
      </c>
      <c r="F79" s="148"/>
      <c r="G79" s="148"/>
      <c r="H79" s="148" t="s">
        <v>4</v>
      </c>
      <c r="I79" s="148" t="s">
        <v>356</v>
      </c>
      <c r="J79" s="148" t="s">
        <v>356</v>
      </c>
      <c r="K79" s="148" t="s">
        <v>357</v>
      </c>
      <c r="L79" s="148" t="s">
        <v>357</v>
      </c>
      <c r="M79" s="66">
        <f t="shared" si="52"/>
        <v>33197531.779999994</v>
      </c>
      <c r="N79" s="73">
        <f>7917625.39+1712180.46+27020.08+986639.95+401096.84+435189.79+402504.82+516394.25+545514.98+2061448.46+4609696.7+87176+638790.3+1126280.48+2128264.51+696802.11</f>
        <v>24292625.119999997</v>
      </c>
      <c r="O79" s="24">
        <f>192444.16+58580.83</f>
        <v>251024.99</v>
      </c>
      <c r="P79" s="24"/>
      <c r="Q79" s="24"/>
      <c r="R79" s="24">
        <f>3667223.71+4278.31+39108.9+3667223.71+1276047.04</f>
        <v>8653881.6699999999</v>
      </c>
      <c r="S79" s="86"/>
      <c r="T79" s="103"/>
      <c r="U79" s="73">
        <v>1</v>
      </c>
      <c r="V79" s="24">
        <v>1</v>
      </c>
      <c r="W79" s="24">
        <v>1</v>
      </c>
      <c r="X79" s="24">
        <v>1</v>
      </c>
      <c r="Y79" s="24">
        <v>1</v>
      </c>
      <c r="Z79" s="24">
        <v>1</v>
      </c>
      <c r="AA79" s="24">
        <v>1</v>
      </c>
      <c r="AB79" s="24">
        <v>1</v>
      </c>
      <c r="AC79" s="24">
        <v>1</v>
      </c>
      <c r="AD79" s="24">
        <v>1</v>
      </c>
      <c r="AE79" s="24">
        <v>1</v>
      </c>
      <c r="AF79" s="24">
        <v>1</v>
      </c>
      <c r="AG79" s="24">
        <v>1</v>
      </c>
      <c r="AH79" s="24">
        <v>1</v>
      </c>
      <c r="AI79" s="24">
        <v>1</v>
      </c>
      <c r="AJ79" s="24">
        <v>1</v>
      </c>
      <c r="AK79" s="24">
        <v>1</v>
      </c>
      <c r="AL79" s="24">
        <v>1</v>
      </c>
      <c r="AM79" s="24">
        <v>1</v>
      </c>
      <c r="AN79" s="24">
        <v>1</v>
      </c>
      <c r="AO79" s="24">
        <v>1</v>
      </c>
      <c r="AP79" s="24">
        <v>1</v>
      </c>
      <c r="AQ79" s="24">
        <v>1</v>
      </c>
      <c r="AR79" s="24">
        <v>1</v>
      </c>
      <c r="AS79" s="24">
        <v>1</v>
      </c>
      <c r="AT79" s="24"/>
      <c r="AU79" s="24">
        <v>1</v>
      </c>
      <c r="AV79" s="24"/>
      <c r="AW79" s="24"/>
      <c r="AX79" s="24">
        <v>1</v>
      </c>
      <c r="AY79" s="24"/>
      <c r="AZ79" s="24"/>
      <c r="BA79" s="24"/>
      <c r="BB79" s="24">
        <v>1</v>
      </c>
      <c r="BC79" s="24"/>
      <c r="BD79" s="74"/>
      <c r="BE79" s="73">
        <v>1</v>
      </c>
      <c r="BF79" s="24">
        <v>1</v>
      </c>
      <c r="BG79" s="24"/>
      <c r="BH79" s="24"/>
      <c r="BI79" s="86"/>
      <c r="BJ79" s="24"/>
      <c r="BK79" s="95">
        <v>1</v>
      </c>
      <c r="BL79" s="73">
        <v>1</v>
      </c>
      <c r="BM79" s="24">
        <v>1</v>
      </c>
      <c r="BN79" s="24"/>
      <c r="BO79" s="24"/>
      <c r="BP79" s="24"/>
      <c r="BQ79" s="24"/>
      <c r="BR79" s="24">
        <v>1</v>
      </c>
      <c r="BS79" s="24"/>
      <c r="BT79" s="74"/>
    </row>
    <row r="80" spans="1:72" s="142" customFormat="1" x14ac:dyDescent="0.25">
      <c r="A80" s="133">
        <v>322</v>
      </c>
      <c r="B80" s="134" t="s">
        <v>2</v>
      </c>
      <c r="C80" s="134" t="s">
        <v>79</v>
      </c>
      <c r="D80" s="154" t="s">
        <v>7</v>
      </c>
      <c r="E80" s="155">
        <v>100000</v>
      </c>
      <c r="F80" s="154" t="s">
        <v>7</v>
      </c>
      <c r="G80" s="155">
        <v>200000</v>
      </c>
      <c r="H80" s="154" t="s">
        <v>359</v>
      </c>
      <c r="I80" s="154" t="s">
        <v>356</v>
      </c>
      <c r="J80" s="154" t="s">
        <v>357</v>
      </c>
      <c r="K80" s="154" t="s">
        <v>357</v>
      </c>
      <c r="L80" s="154" t="s">
        <v>356</v>
      </c>
      <c r="M80" s="135">
        <f t="shared" si="52"/>
        <v>0</v>
      </c>
      <c r="N80" s="136"/>
      <c r="O80" s="137"/>
      <c r="P80" s="137"/>
      <c r="Q80" s="137"/>
      <c r="R80" s="137"/>
      <c r="S80" s="138"/>
      <c r="T80" s="139"/>
      <c r="U80" s="136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40"/>
      <c r="BE80" s="136"/>
      <c r="BF80" s="137"/>
      <c r="BG80" s="137"/>
      <c r="BH80" s="137"/>
      <c r="BI80" s="138"/>
      <c r="BJ80" s="137"/>
      <c r="BK80" s="141"/>
      <c r="BL80" s="136"/>
      <c r="BM80" s="137"/>
      <c r="BN80" s="137"/>
      <c r="BO80" s="137"/>
      <c r="BP80" s="137"/>
      <c r="BQ80" s="137"/>
      <c r="BR80" s="137"/>
      <c r="BS80" s="137"/>
      <c r="BT80" s="140"/>
    </row>
    <row r="81" spans="1:72" s="25" customFormat="1" ht="31.5" x14ac:dyDescent="0.25">
      <c r="A81" s="23">
        <v>323</v>
      </c>
      <c r="B81" s="21" t="s">
        <v>57</v>
      </c>
      <c r="C81" s="21" t="s">
        <v>80</v>
      </c>
      <c r="D81" s="148" t="s">
        <v>7</v>
      </c>
      <c r="E81" s="149">
        <v>300000</v>
      </c>
      <c r="F81" s="148" t="s">
        <v>7</v>
      </c>
      <c r="G81" s="149">
        <v>200000</v>
      </c>
      <c r="H81" s="148" t="s">
        <v>4</v>
      </c>
      <c r="I81" s="148" t="s">
        <v>356</v>
      </c>
      <c r="J81" s="148" t="s">
        <v>357</v>
      </c>
      <c r="K81" s="148" t="s">
        <v>357</v>
      </c>
      <c r="L81" s="148" t="s">
        <v>356</v>
      </c>
      <c r="M81" s="66">
        <f t="shared" si="52"/>
        <v>29791.416000000001</v>
      </c>
      <c r="N81" s="73"/>
      <c r="O81" s="24"/>
      <c r="P81" s="24">
        <v>29791.416000000001</v>
      </c>
      <c r="Q81" s="24"/>
      <c r="R81" s="24"/>
      <c r="S81" s="86"/>
      <c r="T81" s="103">
        <v>8</v>
      </c>
      <c r="U81" s="73">
        <v>1</v>
      </c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>
        <v>1</v>
      </c>
      <c r="AG81" s="24"/>
      <c r="AH81" s="24">
        <v>1</v>
      </c>
      <c r="AI81" s="24"/>
      <c r="AJ81" s="24"/>
      <c r="AK81" s="24">
        <v>1</v>
      </c>
      <c r="AL81" s="24">
        <v>1</v>
      </c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74"/>
      <c r="BE81" s="73">
        <v>1</v>
      </c>
      <c r="BF81" s="24"/>
      <c r="BG81" s="24">
        <v>1</v>
      </c>
      <c r="BH81" s="24"/>
      <c r="BI81" s="86"/>
      <c r="BJ81" s="24">
        <v>1</v>
      </c>
      <c r="BK81" s="95"/>
      <c r="BL81" s="73"/>
      <c r="BM81" s="24">
        <v>1</v>
      </c>
      <c r="BN81" s="24"/>
      <c r="BO81" s="24"/>
      <c r="BP81" s="24"/>
      <c r="BQ81" s="24"/>
      <c r="BR81" s="24">
        <v>1</v>
      </c>
      <c r="BS81" s="24"/>
      <c r="BT81" s="74"/>
    </row>
    <row r="82" spans="1:72" s="25" customFormat="1" x14ac:dyDescent="0.25">
      <c r="A82" s="23">
        <v>325</v>
      </c>
      <c r="B82" s="21" t="s">
        <v>2</v>
      </c>
      <c r="C82" s="21" t="s">
        <v>81</v>
      </c>
      <c r="D82" s="148" t="s">
        <v>7</v>
      </c>
      <c r="E82" s="149">
        <v>100000</v>
      </c>
      <c r="F82" s="148" t="s">
        <v>7</v>
      </c>
      <c r="G82" s="149">
        <v>200000</v>
      </c>
      <c r="H82" s="148" t="s">
        <v>4</v>
      </c>
      <c r="I82" s="148" t="s">
        <v>356</v>
      </c>
      <c r="J82" s="148" t="s">
        <v>357</v>
      </c>
      <c r="K82" s="148" t="s">
        <v>357</v>
      </c>
      <c r="L82" s="148" t="s">
        <v>356</v>
      </c>
      <c r="M82" s="66">
        <f t="shared" si="52"/>
        <v>6338.03</v>
      </c>
      <c r="N82" s="73"/>
      <c r="O82" s="24"/>
      <c r="P82" s="24">
        <f>1578.03+560+2100+2100</f>
        <v>6338.03</v>
      </c>
      <c r="Q82" s="24"/>
      <c r="R82" s="24"/>
      <c r="S82" s="86"/>
      <c r="T82" s="103">
        <v>8</v>
      </c>
      <c r="U82" s="73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>
        <v>1</v>
      </c>
      <c r="AK82" s="24"/>
      <c r="AL82" s="24">
        <v>1</v>
      </c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74"/>
      <c r="BE82" s="73"/>
      <c r="BF82" s="24"/>
      <c r="BG82" s="24"/>
      <c r="BH82" s="24">
        <v>1</v>
      </c>
      <c r="BI82" s="86"/>
      <c r="BJ82" s="24"/>
      <c r="BK82" s="95"/>
      <c r="BL82" s="73">
        <v>1</v>
      </c>
      <c r="BM82" s="24"/>
      <c r="BN82" s="24"/>
      <c r="BO82" s="24"/>
      <c r="BP82" s="24"/>
      <c r="BQ82" s="24"/>
      <c r="BR82" s="24"/>
      <c r="BS82" s="24"/>
      <c r="BT82" s="74"/>
    </row>
    <row r="83" spans="1:72" s="25" customFormat="1" ht="31.5" x14ac:dyDescent="0.25">
      <c r="A83" s="23">
        <v>333</v>
      </c>
      <c r="B83" s="21" t="s">
        <v>2</v>
      </c>
      <c r="C83" s="21" t="s">
        <v>82</v>
      </c>
      <c r="D83" s="148" t="s">
        <v>358</v>
      </c>
      <c r="E83" s="149">
        <v>2000000</v>
      </c>
      <c r="F83" s="148"/>
      <c r="G83" s="148"/>
      <c r="H83" s="148" t="s">
        <v>4</v>
      </c>
      <c r="I83" s="148" t="s">
        <v>356</v>
      </c>
      <c r="J83" s="148" t="s">
        <v>356</v>
      </c>
      <c r="K83" s="148" t="s">
        <v>357</v>
      </c>
      <c r="L83" s="148" t="s">
        <v>357</v>
      </c>
      <c r="M83" s="66">
        <f t="shared" si="52"/>
        <v>4512455.5279999999</v>
      </c>
      <c r="N83" s="73"/>
      <c r="O83" s="24">
        <f>3870206.35+642249.178</f>
        <v>4512455.5279999999</v>
      </c>
      <c r="P83" s="24"/>
      <c r="Q83" s="24"/>
      <c r="R83" s="24"/>
      <c r="S83" s="86"/>
      <c r="T83" s="103">
        <v>8</v>
      </c>
      <c r="U83" s="73"/>
      <c r="V83" s="24"/>
      <c r="W83" s="24"/>
      <c r="X83" s="24"/>
      <c r="Y83" s="24"/>
      <c r="Z83" s="24">
        <v>1</v>
      </c>
      <c r="AA83" s="24">
        <v>1</v>
      </c>
      <c r="AB83" s="24"/>
      <c r="AC83" s="24"/>
      <c r="AD83" s="24"/>
      <c r="AE83" s="24">
        <v>1</v>
      </c>
      <c r="AF83" s="24">
        <v>1</v>
      </c>
      <c r="AG83" s="24"/>
      <c r="AH83" s="24">
        <v>1</v>
      </c>
      <c r="AI83" s="24">
        <v>1</v>
      </c>
      <c r="AJ83" s="24">
        <v>1</v>
      </c>
      <c r="AK83" s="24">
        <v>1</v>
      </c>
      <c r="AL83" s="24">
        <v>1</v>
      </c>
      <c r="AM83" s="24"/>
      <c r="AN83" s="24">
        <v>1</v>
      </c>
      <c r="AO83" s="24"/>
      <c r="AP83" s="24"/>
      <c r="AQ83" s="24"/>
      <c r="AR83" s="24"/>
      <c r="AS83" s="24"/>
      <c r="AT83" s="24"/>
      <c r="AU83" s="24">
        <v>1</v>
      </c>
      <c r="AV83" s="24"/>
      <c r="AW83" s="24"/>
      <c r="AX83" s="24"/>
      <c r="AY83" s="24"/>
      <c r="AZ83" s="24"/>
      <c r="BA83" s="24"/>
      <c r="BB83" s="24"/>
      <c r="BC83" s="24">
        <v>1</v>
      </c>
      <c r="BD83" s="74"/>
      <c r="BE83" s="73"/>
      <c r="BF83" s="24"/>
      <c r="BG83" s="24"/>
      <c r="BH83" s="24">
        <v>1</v>
      </c>
      <c r="BI83" s="86"/>
      <c r="BJ83" s="24"/>
      <c r="BK83" s="95"/>
      <c r="BL83" s="73"/>
      <c r="BM83" s="24"/>
      <c r="BN83" s="24"/>
      <c r="BO83" s="24"/>
      <c r="BP83" s="24"/>
      <c r="BQ83" s="24"/>
      <c r="BR83" s="24">
        <v>1</v>
      </c>
      <c r="BS83" s="24"/>
      <c r="BT83" s="74"/>
    </row>
    <row r="84" spans="1:72" s="25" customFormat="1" x14ac:dyDescent="0.25">
      <c r="A84" s="23">
        <v>335</v>
      </c>
      <c r="B84" s="21" t="s">
        <v>2</v>
      </c>
      <c r="C84" s="21" t="s">
        <v>83</v>
      </c>
      <c r="D84" s="148" t="s">
        <v>354</v>
      </c>
      <c r="E84" s="149">
        <v>500000</v>
      </c>
      <c r="F84" s="148" t="s">
        <v>7</v>
      </c>
      <c r="G84" s="149">
        <v>200000</v>
      </c>
      <c r="H84" s="148" t="s">
        <v>4</v>
      </c>
      <c r="I84" s="148" t="s">
        <v>356</v>
      </c>
      <c r="J84" s="148" t="s">
        <v>356</v>
      </c>
      <c r="K84" s="148" t="s">
        <v>357</v>
      </c>
      <c r="L84" s="148" t="s">
        <v>356</v>
      </c>
      <c r="M84" s="66">
        <f t="shared" si="52"/>
        <v>21650</v>
      </c>
      <c r="N84" s="73"/>
      <c r="O84" s="24"/>
      <c r="P84" s="24">
        <v>21650</v>
      </c>
      <c r="Q84" s="24"/>
      <c r="R84" s="24"/>
      <c r="S84" s="86"/>
      <c r="T84" s="103">
        <v>8</v>
      </c>
      <c r="U84" s="73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>
        <v>1</v>
      </c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74"/>
      <c r="BE84" s="73"/>
      <c r="BF84" s="24"/>
      <c r="BG84" s="24"/>
      <c r="BH84" s="24">
        <v>1</v>
      </c>
      <c r="BI84" s="86"/>
      <c r="BJ84" s="24"/>
      <c r="BK84" s="95"/>
      <c r="BL84" s="73"/>
      <c r="BM84" s="24"/>
      <c r="BN84" s="24"/>
      <c r="BO84" s="24"/>
      <c r="BP84" s="24"/>
      <c r="BQ84" s="24"/>
      <c r="BR84" s="24"/>
      <c r="BS84" s="24"/>
      <c r="BT84" s="74">
        <v>1</v>
      </c>
    </row>
    <row r="85" spans="1:72" s="25" customFormat="1" x14ac:dyDescent="0.25">
      <c r="A85" s="23">
        <v>337</v>
      </c>
      <c r="B85" s="21" t="s">
        <v>2</v>
      </c>
      <c r="C85" s="21" t="s">
        <v>84</v>
      </c>
      <c r="D85" s="148" t="s">
        <v>7</v>
      </c>
      <c r="E85" s="149">
        <v>100000</v>
      </c>
      <c r="F85" s="148" t="s">
        <v>7</v>
      </c>
      <c r="G85" s="149">
        <v>200000</v>
      </c>
      <c r="H85" s="148" t="s">
        <v>4</v>
      </c>
      <c r="I85" s="148" t="s">
        <v>356</v>
      </c>
      <c r="J85" s="148" t="s">
        <v>357</v>
      </c>
      <c r="K85" s="148" t="s">
        <v>357</v>
      </c>
      <c r="L85" s="148" t="s">
        <v>356</v>
      </c>
      <c r="M85" s="66">
        <f t="shared" si="52"/>
        <v>70090</v>
      </c>
      <c r="N85" s="73">
        <f>38651+31439</f>
        <v>70090</v>
      </c>
      <c r="O85" s="24"/>
      <c r="P85" s="24"/>
      <c r="Q85" s="24"/>
      <c r="R85" s="24"/>
      <c r="S85" s="86"/>
      <c r="T85" s="103"/>
      <c r="U85" s="73">
        <v>1</v>
      </c>
      <c r="V85" s="24">
        <v>1</v>
      </c>
      <c r="W85" s="24">
        <v>1</v>
      </c>
      <c r="X85" s="24"/>
      <c r="Y85" s="24"/>
      <c r="Z85" s="24">
        <v>1</v>
      </c>
      <c r="AA85" s="24">
        <v>1</v>
      </c>
      <c r="AB85" s="24">
        <v>1</v>
      </c>
      <c r="AC85" s="24">
        <v>1</v>
      </c>
      <c r="AD85" s="24">
        <v>1</v>
      </c>
      <c r="AE85" s="24">
        <v>1</v>
      </c>
      <c r="AF85" s="24">
        <v>1</v>
      </c>
      <c r="AG85" s="24">
        <v>1</v>
      </c>
      <c r="AH85" s="24">
        <v>1</v>
      </c>
      <c r="AI85" s="24"/>
      <c r="AJ85" s="24"/>
      <c r="AK85" s="24"/>
      <c r="AL85" s="24"/>
      <c r="AM85" s="24">
        <v>1</v>
      </c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>
        <v>1</v>
      </c>
      <c r="BC85" s="24"/>
      <c r="BD85" s="74"/>
      <c r="BE85" s="73"/>
      <c r="BF85" s="24"/>
      <c r="BG85" s="24"/>
      <c r="BH85" s="24"/>
      <c r="BI85" s="86"/>
      <c r="BJ85" s="24">
        <v>1</v>
      </c>
      <c r="BK85" s="95"/>
      <c r="BL85" s="73"/>
      <c r="BM85" s="24">
        <v>1</v>
      </c>
      <c r="BN85" s="24"/>
      <c r="BO85" s="24"/>
      <c r="BP85" s="24"/>
      <c r="BQ85" s="24"/>
      <c r="BR85" s="24">
        <v>1</v>
      </c>
      <c r="BS85" s="24"/>
      <c r="BT85" s="74"/>
    </row>
    <row r="86" spans="1:72" s="142" customFormat="1" ht="31.5" x14ac:dyDescent="0.25">
      <c r="A86" s="133">
        <v>338</v>
      </c>
      <c r="B86" s="134" t="s">
        <v>2</v>
      </c>
      <c r="C86" s="134" t="s">
        <v>235</v>
      </c>
      <c r="D86" s="154" t="s">
        <v>354</v>
      </c>
      <c r="E86" s="155">
        <v>500000</v>
      </c>
      <c r="F86" s="154"/>
      <c r="G86" s="154"/>
      <c r="H86" s="154" t="s">
        <v>359</v>
      </c>
      <c r="I86" s="154" t="s">
        <v>356</v>
      </c>
      <c r="J86" s="154" t="s">
        <v>357</v>
      </c>
      <c r="K86" s="154" t="s">
        <v>357</v>
      </c>
      <c r="L86" s="154" t="s">
        <v>357</v>
      </c>
      <c r="M86" s="135">
        <f t="shared" si="52"/>
        <v>0</v>
      </c>
      <c r="N86" s="136"/>
      <c r="O86" s="137"/>
      <c r="P86" s="137"/>
      <c r="Q86" s="137"/>
      <c r="R86" s="137"/>
      <c r="S86" s="138"/>
      <c r="T86" s="139"/>
      <c r="U86" s="136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40"/>
      <c r="BE86" s="136"/>
      <c r="BF86" s="137"/>
      <c r="BG86" s="137"/>
      <c r="BH86" s="137"/>
      <c r="BI86" s="138"/>
      <c r="BJ86" s="137"/>
      <c r="BK86" s="141"/>
      <c r="BL86" s="136"/>
      <c r="BM86" s="137"/>
      <c r="BN86" s="137"/>
      <c r="BO86" s="137"/>
      <c r="BP86" s="137"/>
      <c r="BQ86" s="137"/>
      <c r="BR86" s="137"/>
      <c r="BS86" s="137"/>
      <c r="BT86" s="140"/>
    </row>
    <row r="87" spans="1:72" s="25" customFormat="1" x14ac:dyDescent="0.25">
      <c r="A87" s="23">
        <v>339</v>
      </c>
      <c r="B87" s="21" t="s">
        <v>2</v>
      </c>
      <c r="C87" s="21" t="s">
        <v>85</v>
      </c>
      <c r="D87" s="148" t="s">
        <v>7</v>
      </c>
      <c r="E87" s="149">
        <v>100000</v>
      </c>
      <c r="F87" s="148" t="s">
        <v>7</v>
      </c>
      <c r="G87" s="149">
        <v>200000</v>
      </c>
      <c r="H87" s="148" t="s">
        <v>4</v>
      </c>
      <c r="I87" s="148" t="s">
        <v>356</v>
      </c>
      <c r="J87" s="148" t="s">
        <v>357</v>
      </c>
      <c r="K87" s="148" t="s">
        <v>357</v>
      </c>
      <c r="L87" s="148" t="s">
        <v>356</v>
      </c>
      <c r="M87" s="66">
        <f t="shared" si="52"/>
        <v>0</v>
      </c>
      <c r="N87" s="73"/>
      <c r="O87" s="24"/>
      <c r="P87" s="24"/>
      <c r="Q87" s="24"/>
      <c r="R87" s="24"/>
      <c r="S87" s="86"/>
      <c r="T87" s="103"/>
      <c r="U87" s="73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74"/>
      <c r="BE87" s="73">
        <v>1</v>
      </c>
      <c r="BF87" s="24"/>
      <c r="BG87" s="24"/>
      <c r="BH87" s="24">
        <v>1</v>
      </c>
      <c r="BI87" s="86"/>
      <c r="BJ87" s="24">
        <v>1</v>
      </c>
      <c r="BK87" s="95">
        <v>1</v>
      </c>
      <c r="BL87" s="73">
        <v>1</v>
      </c>
      <c r="BM87" s="24">
        <v>1</v>
      </c>
      <c r="BN87" s="24"/>
      <c r="BO87" s="24"/>
      <c r="BP87" s="24"/>
      <c r="BQ87" s="24"/>
      <c r="BR87" s="24">
        <v>1</v>
      </c>
      <c r="BS87" s="24">
        <v>1</v>
      </c>
      <c r="BT87" s="74"/>
    </row>
    <row r="88" spans="1:72" s="25" customFormat="1" x14ac:dyDescent="0.25">
      <c r="A88" s="23">
        <v>342</v>
      </c>
      <c r="B88" s="21" t="s">
        <v>57</v>
      </c>
      <c r="C88" s="21" t="s">
        <v>86</v>
      </c>
      <c r="D88" s="148" t="s">
        <v>7</v>
      </c>
      <c r="E88" s="149">
        <v>100000</v>
      </c>
      <c r="F88" s="148" t="s">
        <v>7</v>
      </c>
      <c r="G88" s="149">
        <v>200000</v>
      </c>
      <c r="H88" s="148" t="s">
        <v>4</v>
      </c>
      <c r="I88" s="148" t="s">
        <v>356</v>
      </c>
      <c r="J88" s="148" t="s">
        <v>356</v>
      </c>
      <c r="K88" s="148" t="s">
        <v>357</v>
      </c>
      <c r="L88" s="148" t="s">
        <v>356</v>
      </c>
      <c r="M88" s="66">
        <f t="shared" si="52"/>
        <v>22086.307000000001</v>
      </c>
      <c r="N88" s="73"/>
      <c r="O88" s="24"/>
      <c r="P88" s="24">
        <f>10135.194+2449.117+9501.996</f>
        <v>22086.307000000001</v>
      </c>
      <c r="Q88" s="24"/>
      <c r="R88" s="24"/>
      <c r="S88" s="86"/>
      <c r="T88" s="103">
        <v>8</v>
      </c>
      <c r="U88" s="73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>
        <v>1</v>
      </c>
      <c r="AL88" s="24">
        <v>1</v>
      </c>
      <c r="AM88" s="24">
        <v>1</v>
      </c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74"/>
      <c r="BE88" s="73"/>
      <c r="BF88" s="24"/>
      <c r="BG88" s="24">
        <v>1</v>
      </c>
      <c r="BH88" s="24">
        <v>1</v>
      </c>
      <c r="BI88" s="86"/>
      <c r="BJ88" s="24">
        <v>1</v>
      </c>
      <c r="BK88" s="95"/>
      <c r="BL88" s="73"/>
      <c r="BM88" s="24"/>
      <c r="BN88" s="24"/>
      <c r="BO88" s="24"/>
      <c r="BP88" s="24"/>
      <c r="BQ88" s="24"/>
      <c r="BR88" s="24">
        <v>1</v>
      </c>
      <c r="BS88" s="24"/>
      <c r="BT88" s="74"/>
    </row>
    <row r="89" spans="1:72" s="25" customFormat="1" x14ac:dyDescent="0.25">
      <c r="A89" s="23">
        <v>343</v>
      </c>
      <c r="B89" s="21" t="s">
        <v>2</v>
      </c>
      <c r="C89" s="21" t="s">
        <v>45</v>
      </c>
      <c r="D89" s="148" t="s">
        <v>7</v>
      </c>
      <c r="E89" s="149">
        <v>100000</v>
      </c>
      <c r="F89" s="148" t="s">
        <v>354</v>
      </c>
      <c r="G89" s="149">
        <v>2500000</v>
      </c>
      <c r="H89" s="148" t="s">
        <v>4</v>
      </c>
      <c r="I89" s="148" t="s">
        <v>356</v>
      </c>
      <c r="J89" s="148" t="s">
        <v>357</v>
      </c>
      <c r="K89" s="148" t="s">
        <v>357</v>
      </c>
      <c r="L89" s="148" t="s">
        <v>356</v>
      </c>
      <c r="M89" s="66">
        <f t="shared" si="52"/>
        <v>37139</v>
      </c>
      <c r="N89" s="73">
        <v>37139</v>
      </c>
      <c r="O89" s="24"/>
      <c r="P89" s="24"/>
      <c r="Q89" s="24"/>
      <c r="R89" s="24"/>
      <c r="S89" s="86"/>
      <c r="T89" s="103"/>
      <c r="U89" s="73"/>
      <c r="V89" s="24">
        <v>1</v>
      </c>
      <c r="W89" s="24">
        <v>1</v>
      </c>
      <c r="X89" s="24"/>
      <c r="Y89" s="24"/>
      <c r="Z89" s="24"/>
      <c r="AA89" s="24"/>
      <c r="AB89" s="24">
        <v>1</v>
      </c>
      <c r="AC89" s="24"/>
      <c r="AD89" s="24">
        <v>1</v>
      </c>
      <c r="AE89" s="24">
        <v>1</v>
      </c>
      <c r="AF89" s="24"/>
      <c r="AG89" s="24">
        <v>1</v>
      </c>
      <c r="AH89" s="24">
        <v>1</v>
      </c>
      <c r="AI89" s="24"/>
      <c r="AJ89" s="24"/>
      <c r="AK89" s="24"/>
      <c r="AL89" s="24"/>
      <c r="AM89" s="24"/>
      <c r="AN89" s="24">
        <v>1</v>
      </c>
      <c r="AO89" s="24"/>
      <c r="AP89" s="24"/>
      <c r="AQ89" s="24"/>
      <c r="AR89" s="24">
        <v>1</v>
      </c>
      <c r="AS89" s="24"/>
      <c r="AT89" s="24"/>
      <c r="AU89" s="24">
        <v>1</v>
      </c>
      <c r="AV89" s="24"/>
      <c r="AW89" s="24"/>
      <c r="AX89" s="24"/>
      <c r="AY89" s="24"/>
      <c r="AZ89" s="24"/>
      <c r="BA89" s="24"/>
      <c r="BB89" s="24">
        <v>1</v>
      </c>
      <c r="BC89" s="24"/>
      <c r="BD89" s="74"/>
      <c r="BE89" s="73"/>
      <c r="BF89" s="24"/>
      <c r="BG89" s="24">
        <v>1</v>
      </c>
      <c r="BH89" s="24"/>
      <c r="BI89" s="86"/>
      <c r="BJ89" s="24"/>
      <c r="BK89" s="95"/>
      <c r="BL89" s="73"/>
      <c r="BM89" s="24"/>
      <c r="BN89" s="24"/>
      <c r="BO89" s="24"/>
      <c r="BP89" s="24"/>
      <c r="BQ89" s="24"/>
      <c r="BR89" s="24"/>
      <c r="BS89" s="24">
        <v>1</v>
      </c>
      <c r="BT89" s="74"/>
    </row>
    <row r="90" spans="1:72" s="25" customFormat="1" x14ac:dyDescent="0.25">
      <c r="A90" s="23">
        <v>344</v>
      </c>
      <c r="B90" s="21" t="s">
        <v>57</v>
      </c>
      <c r="C90" s="21" t="s">
        <v>87</v>
      </c>
      <c r="D90" s="148" t="s">
        <v>7</v>
      </c>
      <c r="E90" s="149">
        <v>100000</v>
      </c>
      <c r="F90" s="148"/>
      <c r="G90" s="148"/>
      <c r="H90" s="148" t="s">
        <v>4</v>
      </c>
      <c r="I90" s="148" t="s">
        <v>356</v>
      </c>
      <c r="J90" s="148" t="s">
        <v>357</v>
      </c>
      <c r="K90" s="148" t="s">
        <v>357</v>
      </c>
      <c r="L90" s="148" t="s">
        <v>357</v>
      </c>
      <c r="M90" s="66">
        <f t="shared" si="52"/>
        <v>100442.48</v>
      </c>
      <c r="N90" s="73"/>
      <c r="O90" s="24"/>
      <c r="P90" s="24"/>
      <c r="Q90" s="24"/>
      <c r="R90" s="24">
        <f>92687.33+3000</f>
        <v>95687.33</v>
      </c>
      <c r="S90" s="86">
        <v>4755.1499999999996</v>
      </c>
      <c r="T90" s="103">
        <v>8</v>
      </c>
      <c r="U90" s="73">
        <v>1</v>
      </c>
      <c r="V90" s="24">
        <v>1</v>
      </c>
      <c r="W90" s="24"/>
      <c r="X90" s="24"/>
      <c r="Y90" s="24"/>
      <c r="Z90" s="24"/>
      <c r="AA90" s="24"/>
      <c r="AB90" s="24"/>
      <c r="AC90" s="24">
        <v>1</v>
      </c>
      <c r="AD90" s="24">
        <v>1</v>
      </c>
      <c r="AE90" s="24">
        <v>1</v>
      </c>
      <c r="AF90" s="24"/>
      <c r="AG90" s="24">
        <v>1</v>
      </c>
      <c r="AH90" s="24"/>
      <c r="AI90" s="24">
        <v>1</v>
      </c>
      <c r="AJ90" s="24"/>
      <c r="AK90" s="24">
        <v>1</v>
      </c>
      <c r="AL90" s="24">
        <v>1</v>
      </c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>
        <v>1</v>
      </c>
      <c r="BC90" s="24"/>
      <c r="BD90" s="74"/>
      <c r="BE90" s="73"/>
      <c r="BF90" s="24">
        <v>1</v>
      </c>
      <c r="BG90" s="24"/>
      <c r="BH90" s="24"/>
      <c r="BI90" s="86"/>
      <c r="BJ90" s="24">
        <v>1</v>
      </c>
      <c r="BK90" s="95"/>
      <c r="BL90" s="73">
        <v>1</v>
      </c>
      <c r="BM90" s="24">
        <v>1</v>
      </c>
      <c r="BN90" s="24"/>
      <c r="BO90" s="24"/>
      <c r="BP90" s="24">
        <v>1</v>
      </c>
      <c r="BQ90" s="24"/>
      <c r="BR90" s="24">
        <v>1</v>
      </c>
      <c r="BS90" s="24"/>
      <c r="BT90" s="74"/>
    </row>
    <row r="91" spans="1:72" s="25" customFormat="1" x14ac:dyDescent="0.25">
      <c r="A91" s="23">
        <v>347</v>
      </c>
      <c r="B91" s="21" t="s">
        <v>2</v>
      </c>
      <c r="C91" s="21" t="s">
        <v>88</v>
      </c>
      <c r="D91" s="148" t="s">
        <v>7</v>
      </c>
      <c r="E91" s="149">
        <v>100000</v>
      </c>
      <c r="F91" s="148" t="s">
        <v>7</v>
      </c>
      <c r="G91" s="149">
        <v>200000</v>
      </c>
      <c r="H91" s="148" t="s">
        <v>4</v>
      </c>
      <c r="I91" s="148" t="s">
        <v>356</v>
      </c>
      <c r="J91" s="148" t="s">
        <v>357</v>
      </c>
      <c r="K91" s="148" t="s">
        <v>357</v>
      </c>
      <c r="L91" s="148" t="s">
        <v>356</v>
      </c>
      <c r="M91" s="66">
        <f t="shared" si="52"/>
        <v>1715.31</v>
      </c>
      <c r="N91" s="73">
        <f>125.59+183.58+56.3+50.31</f>
        <v>415.78000000000003</v>
      </c>
      <c r="O91" s="24"/>
      <c r="P91" s="24">
        <f>31.17+23.65+160.65+455.63+396.15+174.5+25.11+32.67</f>
        <v>1299.53</v>
      </c>
      <c r="Q91" s="24"/>
      <c r="R91" s="24"/>
      <c r="S91" s="86"/>
      <c r="T91" s="103">
        <v>8</v>
      </c>
      <c r="U91" s="73"/>
      <c r="V91" s="24">
        <v>1</v>
      </c>
      <c r="W91" s="24"/>
      <c r="X91" s="24"/>
      <c r="Y91" s="24"/>
      <c r="Z91" s="24"/>
      <c r="AA91" s="24"/>
      <c r="AB91" s="24"/>
      <c r="AC91" s="24">
        <v>1</v>
      </c>
      <c r="AD91" s="24"/>
      <c r="AE91" s="24"/>
      <c r="AF91" s="24">
        <v>1</v>
      </c>
      <c r="AG91" s="24"/>
      <c r="AH91" s="24"/>
      <c r="AI91" s="24"/>
      <c r="AJ91" s="24"/>
      <c r="AK91" s="24">
        <v>1</v>
      </c>
      <c r="AL91" s="24"/>
      <c r="AM91" s="24">
        <v>1</v>
      </c>
      <c r="AN91" s="24">
        <v>1</v>
      </c>
      <c r="AO91" s="24">
        <v>1</v>
      </c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74"/>
      <c r="BE91" s="73">
        <v>1</v>
      </c>
      <c r="BF91" s="24"/>
      <c r="BG91" s="24">
        <v>1</v>
      </c>
      <c r="BH91" s="24"/>
      <c r="BI91" s="86"/>
      <c r="BJ91" s="24">
        <v>1</v>
      </c>
      <c r="BK91" s="95"/>
      <c r="BL91" s="73"/>
      <c r="BM91" s="24"/>
      <c r="BN91" s="24">
        <v>1</v>
      </c>
      <c r="BO91" s="24"/>
      <c r="BP91" s="24"/>
      <c r="BQ91" s="24"/>
      <c r="BR91" s="24"/>
      <c r="BS91" s="24"/>
      <c r="BT91" s="74"/>
    </row>
    <row r="92" spans="1:72" s="25" customFormat="1" x14ac:dyDescent="0.25">
      <c r="A92" s="23">
        <v>350</v>
      </c>
      <c r="B92" s="21" t="s">
        <v>2</v>
      </c>
      <c r="C92" s="21" t="s">
        <v>89</v>
      </c>
      <c r="D92" s="148" t="s">
        <v>7</v>
      </c>
      <c r="E92" s="149">
        <v>100000</v>
      </c>
      <c r="F92" s="148" t="s">
        <v>7</v>
      </c>
      <c r="G92" s="149">
        <v>200000</v>
      </c>
      <c r="H92" s="148" t="s">
        <v>4</v>
      </c>
      <c r="I92" s="148" t="s">
        <v>356</v>
      </c>
      <c r="J92" s="148" t="s">
        <v>356</v>
      </c>
      <c r="K92" s="148" t="s">
        <v>357</v>
      </c>
      <c r="L92" s="148" t="s">
        <v>356</v>
      </c>
      <c r="M92" s="66">
        <f t="shared" si="52"/>
        <v>0</v>
      </c>
      <c r="N92" s="73"/>
      <c r="O92" s="24"/>
      <c r="P92" s="24"/>
      <c r="Q92" s="24"/>
      <c r="R92" s="24"/>
      <c r="S92" s="86"/>
      <c r="T92" s="103"/>
      <c r="U92" s="73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74"/>
      <c r="BE92" s="73"/>
      <c r="BF92" s="24"/>
      <c r="BG92" s="24">
        <v>1</v>
      </c>
      <c r="BH92" s="24"/>
      <c r="BI92" s="86"/>
      <c r="BJ92" s="24">
        <v>1</v>
      </c>
      <c r="BK92" s="95"/>
      <c r="BL92" s="73"/>
      <c r="BM92" s="24"/>
      <c r="BN92" s="24"/>
      <c r="BO92" s="24"/>
      <c r="BP92" s="24"/>
      <c r="BQ92" s="24"/>
      <c r="BR92" s="24">
        <v>1</v>
      </c>
      <c r="BS92" s="24">
        <v>1</v>
      </c>
      <c r="BT92" s="74"/>
    </row>
    <row r="93" spans="1:72" s="25" customFormat="1" x14ac:dyDescent="0.25">
      <c r="A93" s="23">
        <v>8</v>
      </c>
      <c r="B93" s="21" t="s">
        <v>2</v>
      </c>
      <c r="C93" s="21" t="s">
        <v>90</v>
      </c>
      <c r="D93" s="148" t="s">
        <v>355</v>
      </c>
      <c r="E93" s="149">
        <v>1500000</v>
      </c>
      <c r="F93" s="148" t="s">
        <v>358</v>
      </c>
      <c r="G93" s="149">
        <v>7000000</v>
      </c>
      <c r="H93" s="148" t="s">
        <v>4</v>
      </c>
      <c r="I93" s="148" t="s">
        <v>356</v>
      </c>
      <c r="J93" s="148" t="s">
        <v>356</v>
      </c>
      <c r="K93" s="148" t="s">
        <v>357</v>
      </c>
      <c r="L93" s="148" t="s">
        <v>356</v>
      </c>
      <c r="M93" s="66">
        <f t="shared" si="52"/>
        <v>1128761.6099999999</v>
      </c>
      <c r="N93" s="73"/>
      <c r="O93" s="24">
        <f>466424.228+662337.382</f>
        <v>1128761.6099999999</v>
      </c>
      <c r="P93" s="24"/>
      <c r="Q93" s="24"/>
      <c r="R93" s="24"/>
      <c r="S93" s="86"/>
      <c r="T93" s="103">
        <v>8</v>
      </c>
      <c r="U93" s="73">
        <v>1</v>
      </c>
      <c r="V93" s="24">
        <v>1</v>
      </c>
      <c r="W93" s="24"/>
      <c r="X93" s="24"/>
      <c r="Y93" s="24">
        <v>1</v>
      </c>
      <c r="Z93" s="24"/>
      <c r="AA93" s="24">
        <v>1</v>
      </c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>
        <v>1</v>
      </c>
      <c r="AR93" s="24"/>
      <c r="AS93" s="24"/>
      <c r="AT93" s="24"/>
      <c r="AU93" s="24">
        <v>1</v>
      </c>
      <c r="AV93" s="24">
        <v>1</v>
      </c>
      <c r="AW93" s="24"/>
      <c r="AX93" s="24"/>
      <c r="AY93" s="24"/>
      <c r="AZ93" s="24">
        <v>1</v>
      </c>
      <c r="BA93" s="24"/>
      <c r="BB93" s="24">
        <v>1</v>
      </c>
      <c r="BC93" s="24"/>
      <c r="BD93" s="74"/>
      <c r="BE93" s="73"/>
      <c r="BF93" s="24"/>
      <c r="BG93" s="24">
        <v>1</v>
      </c>
      <c r="BH93" s="24"/>
      <c r="BI93" s="86"/>
      <c r="BJ93" s="24"/>
      <c r="BK93" s="95"/>
      <c r="BL93" s="73"/>
      <c r="BM93" s="24"/>
      <c r="BN93" s="24"/>
      <c r="BO93" s="24"/>
      <c r="BP93" s="24"/>
      <c r="BQ93" s="24"/>
      <c r="BR93" s="24">
        <v>1</v>
      </c>
      <c r="BS93" s="24"/>
      <c r="BT93" s="74"/>
    </row>
    <row r="94" spans="1:72" s="25" customFormat="1" x14ac:dyDescent="0.25">
      <c r="A94" s="23">
        <v>355</v>
      </c>
      <c r="B94" s="21" t="s">
        <v>2</v>
      </c>
      <c r="C94" s="21" t="s">
        <v>91</v>
      </c>
      <c r="D94" s="148" t="s">
        <v>7</v>
      </c>
      <c r="E94" s="149">
        <v>100000</v>
      </c>
      <c r="F94" s="148"/>
      <c r="G94" s="148"/>
      <c r="H94" s="148" t="s">
        <v>4</v>
      </c>
      <c r="I94" s="148" t="s">
        <v>356</v>
      </c>
      <c r="J94" s="148" t="s">
        <v>357</v>
      </c>
      <c r="K94" s="148" t="s">
        <v>357</v>
      </c>
      <c r="L94" s="148" t="s">
        <v>357</v>
      </c>
      <c r="M94" s="66">
        <f t="shared" si="52"/>
        <v>0</v>
      </c>
      <c r="N94" s="73"/>
      <c r="O94" s="24"/>
      <c r="P94" s="24"/>
      <c r="Q94" s="24"/>
      <c r="R94" s="24"/>
      <c r="S94" s="86"/>
      <c r="T94" s="103"/>
      <c r="U94" s="73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74"/>
      <c r="BE94" s="73"/>
      <c r="BF94" s="24">
        <v>1</v>
      </c>
      <c r="BG94" s="24"/>
      <c r="BH94" s="24"/>
      <c r="BI94" s="86"/>
      <c r="BJ94" s="24">
        <v>1</v>
      </c>
      <c r="BK94" s="95"/>
      <c r="BL94" s="73"/>
      <c r="BM94" s="24"/>
      <c r="BN94" s="24"/>
      <c r="BO94" s="24"/>
      <c r="BP94" s="24"/>
      <c r="BQ94" s="24"/>
      <c r="BR94" s="24">
        <v>1</v>
      </c>
      <c r="BS94" s="24"/>
      <c r="BT94" s="74"/>
    </row>
    <row r="95" spans="1:72" s="25" customFormat="1" ht="31.5" x14ac:dyDescent="0.25">
      <c r="A95" s="23">
        <v>357</v>
      </c>
      <c r="B95" s="21" t="s">
        <v>2</v>
      </c>
      <c r="C95" s="21" t="s">
        <v>92</v>
      </c>
      <c r="D95" s="148" t="s">
        <v>354</v>
      </c>
      <c r="E95" s="149">
        <v>500000</v>
      </c>
      <c r="F95" s="148" t="s">
        <v>354</v>
      </c>
      <c r="G95" s="149">
        <v>2500000</v>
      </c>
      <c r="H95" s="148" t="s">
        <v>4</v>
      </c>
      <c r="I95" s="148" t="s">
        <v>356</v>
      </c>
      <c r="J95" s="148" t="s">
        <v>357</v>
      </c>
      <c r="K95" s="148" t="s">
        <v>357</v>
      </c>
      <c r="L95" s="148" t="s">
        <v>356</v>
      </c>
      <c r="M95" s="66">
        <f t="shared" si="52"/>
        <v>59987</v>
      </c>
      <c r="N95" s="73">
        <v>59987</v>
      </c>
      <c r="O95" s="24"/>
      <c r="P95" s="24"/>
      <c r="Q95" s="24"/>
      <c r="R95" s="24"/>
      <c r="S95" s="86"/>
      <c r="T95" s="103"/>
      <c r="U95" s="73">
        <v>1</v>
      </c>
      <c r="V95" s="24">
        <v>1</v>
      </c>
      <c r="W95" s="24">
        <v>1</v>
      </c>
      <c r="X95" s="24"/>
      <c r="Y95" s="24">
        <v>1</v>
      </c>
      <c r="Z95" s="24">
        <v>1</v>
      </c>
      <c r="AA95" s="24">
        <v>1</v>
      </c>
      <c r="AB95" s="24">
        <v>1</v>
      </c>
      <c r="AC95" s="24">
        <v>1</v>
      </c>
      <c r="AD95" s="24">
        <v>1</v>
      </c>
      <c r="AE95" s="24">
        <v>1</v>
      </c>
      <c r="AF95" s="24">
        <v>1</v>
      </c>
      <c r="AG95" s="24">
        <v>1</v>
      </c>
      <c r="AH95" s="24">
        <v>1</v>
      </c>
      <c r="AI95" s="24">
        <v>1</v>
      </c>
      <c r="AJ95" s="24">
        <v>1</v>
      </c>
      <c r="AK95" s="24">
        <v>1</v>
      </c>
      <c r="AL95" s="24">
        <v>1</v>
      </c>
      <c r="AM95" s="24">
        <v>1</v>
      </c>
      <c r="AN95" s="24">
        <v>1</v>
      </c>
      <c r="AO95" s="24">
        <v>1</v>
      </c>
      <c r="AP95" s="24">
        <v>1</v>
      </c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>
        <v>1</v>
      </c>
      <c r="BC95" s="24"/>
      <c r="BD95" s="74"/>
      <c r="BE95" s="73">
        <v>1</v>
      </c>
      <c r="BF95" s="24">
        <v>1</v>
      </c>
      <c r="BG95" s="24">
        <v>1</v>
      </c>
      <c r="BH95" s="24"/>
      <c r="BI95" s="86"/>
      <c r="BJ95" s="24"/>
      <c r="BK95" s="95"/>
      <c r="BL95" s="73">
        <v>1</v>
      </c>
      <c r="BM95" s="24"/>
      <c r="BN95" s="24"/>
      <c r="BO95" s="24"/>
      <c r="BP95" s="24"/>
      <c r="BQ95" s="24"/>
      <c r="BR95" s="24">
        <v>1</v>
      </c>
      <c r="BS95" s="24"/>
      <c r="BT95" s="74"/>
    </row>
    <row r="96" spans="1:72" s="25" customFormat="1" x14ac:dyDescent="0.25">
      <c r="A96" s="23">
        <v>358</v>
      </c>
      <c r="B96" s="21" t="s">
        <v>2</v>
      </c>
      <c r="C96" s="21" t="s">
        <v>93</v>
      </c>
      <c r="D96" s="148" t="s">
        <v>355</v>
      </c>
      <c r="E96" s="149">
        <v>1500000</v>
      </c>
      <c r="F96" s="148"/>
      <c r="G96" s="148"/>
      <c r="H96" s="148" t="s">
        <v>4</v>
      </c>
      <c r="I96" s="148" t="s">
        <v>356</v>
      </c>
      <c r="J96" s="148" t="s">
        <v>357</v>
      </c>
      <c r="K96" s="148" t="s">
        <v>357</v>
      </c>
      <c r="L96" s="148" t="s">
        <v>357</v>
      </c>
      <c r="M96" s="66">
        <f t="shared" si="52"/>
        <v>351975.87</v>
      </c>
      <c r="N96" s="73">
        <f>139.01+663.31+351173.55</f>
        <v>351975.87</v>
      </c>
      <c r="O96" s="24"/>
      <c r="P96" s="24"/>
      <c r="Q96" s="24"/>
      <c r="R96" s="24"/>
      <c r="S96" s="86"/>
      <c r="T96" s="103"/>
      <c r="U96" s="73">
        <v>1</v>
      </c>
      <c r="V96" s="24">
        <v>1</v>
      </c>
      <c r="W96" s="24"/>
      <c r="X96" s="24"/>
      <c r="Y96" s="24"/>
      <c r="Z96" s="24">
        <v>1</v>
      </c>
      <c r="AA96" s="24">
        <v>1</v>
      </c>
      <c r="AB96" s="24">
        <v>1</v>
      </c>
      <c r="AC96" s="24">
        <v>1</v>
      </c>
      <c r="AD96" s="24"/>
      <c r="AE96" s="24">
        <v>1</v>
      </c>
      <c r="AF96" s="24">
        <v>1</v>
      </c>
      <c r="AG96" s="24">
        <v>1</v>
      </c>
      <c r="AH96" s="24">
        <v>1</v>
      </c>
      <c r="AI96" s="24">
        <v>1</v>
      </c>
      <c r="AJ96" s="24"/>
      <c r="AK96" s="24"/>
      <c r="AL96" s="24">
        <v>1</v>
      </c>
      <c r="AM96" s="24"/>
      <c r="AN96" s="24">
        <v>1</v>
      </c>
      <c r="AO96" s="24">
        <v>1</v>
      </c>
      <c r="AP96" s="24">
        <v>1</v>
      </c>
      <c r="AQ96" s="24">
        <v>1</v>
      </c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>
        <v>1</v>
      </c>
      <c r="BC96" s="24"/>
      <c r="BD96" s="74"/>
      <c r="BE96" s="73"/>
      <c r="BF96" s="24"/>
      <c r="BG96" s="24">
        <v>1</v>
      </c>
      <c r="BH96" s="24">
        <v>1</v>
      </c>
      <c r="BI96" s="86"/>
      <c r="BJ96" s="24"/>
      <c r="BK96" s="95"/>
      <c r="BL96" s="73">
        <v>1</v>
      </c>
      <c r="BM96" s="24"/>
      <c r="BN96" s="24"/>
      <c r="BO96" s="24"/>
      <c r="BP96" s="24"/>
      <c r="BQ96" s="24"/>
      <c r="BR96" s="24"/>
      <c r="BS96" s="24">
        <v>1</v>
      </c>
      <c r="BT96" s="74"/>
    </row>
    <row r="97" spans="1:72" s="25" customFormat="1" x14ac:dyDescent="0.25">
      <c r="A97" s="23">
        <v>359</v>
      </c>
      <c r="B97" s="21" t="s">
        <v>2</v>
      </c>
      <c r="C97" s="21" t="s">
        <v>94</v>
      </c>
      <c r="D97" s="148" t="s">
        <v>7</v>
      </c>
      <c r="E97" s="149">
        <v>100000</v>
      </c>
      <c r="F97" s="148" t="s">
        <v>7</v>
      </c>
      <c r="G97" s="149">
        <v>200000</v>
      </c>
      <c r="H97" s="148" t="s">
        <v>4</v>
      </c>
      <c r="I97" s="148" t="s">
        <v>356</v>
      </c>
      <c r="J97" s="148" t="s">
        <v>357</v>
      </c>
      <c r="K97" s="148" t="s">
        <v>357</v>
      </c>
      <c r="L97" s="148" t="s">
        <v>356</v>
      </c>
      <c r="M97" s="66">
        <f t="shared" si="52"/>
        <v>0</v>
      </c>
      <c r="N97" s="73"/>
      <c r="O97" s="24"/>
      <c r="P97" s="24"/>
      <c r="Q97" s="24"/>
      <c r="R97" s="24"/>
      <c r="S97" s="86"/>
      <c r="T97" s="103"/>
      <c r="U97" s="73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74"/>
      <c r="BE97" s="73"/>
      <c r="BF97" s="24"/>
      <c r="BG97" s="24"/>
      <c r="BH97" s="24">
        <v>1</v>
      </c>
      <c r="BI97" s="86"/>
      <c r="BJ97" s="24">
        <v>1</v>
      </c>
      <c r="BK97" s="95"/>
      <c r="BL97" s="73">
        <v>1</v>
      </c>
      <c r="BM97" s="24"/>
      <c r="BN97" s="24"/>
      <c r="BO97" s="24"/>
      <c r="BP97" s="24"/>
      <c r="BQ97" s="24"/>
      <c r="BR97" s="24"/>
      <c r="BS97" s="24">
        <v>1</v>
      </c>
      <c r="BT97" s="74"/>
    </row>
    <row r="98" spans="1:72" s="25" customFormat="1" x14ac:dyDescent="0.25">
      <c r="A98" s="23">
        <v>360</v>
      </c>
      <c r="B98" s="21" t="s">
        <v>57</v>
      </c>
      <c r="C98" s="21" t="s">
        <v>95</v>
      </c>
      <c r="D98" s="148" t="s">
        <v>7</v>
      </c>
      <c r="E98" s="149">
        <v>100000</v>
      </c>
      <c r="F98" s="148"/>
      <c r="G98" s="148"/>
      <c r="H98" s="148" t="s">
        <v>4</v>
      </c>
      <c r="I98" s="148" t="s">
        <v>356</v>
      </c>
      <c r="J98" s="148" t="s">
        <v>356</v>
      </c>
      <c r="K98" s="148" t="s">
        <v>357</v>
      </c>
      <c r="L98" s="148" t="s">
        <v>357</v>
      </c>
      <c r="M98" s="66">
        <f t="shared" si="52"/>
        <v>12865737.766619999</v>
      </c>
      <c r="N98" s="73"/>
      <c r="O98" s="24"/>
      <c r="P98" s="24"/>
      <c r="Q98" s="24"/>
      <c r="R98" s="24">
        <f>24000+1595930.26683+2134068.14931+1720162.3158+5938530.67547+25638.74382+9949.29622+20544.34437+83429.21667+945305.50804+8683.53607+307532.64394+46839.69388+5123.3762</f>
        <v>12865737.766619999</v>
      </c>
      <c r="S98" s="86"/>
      <c r="T98" s="103"/>
      <c r="U98" s="73">
        <v>1</v>
      </c>
      <c r="V98" s="24">
        <v>1</v>
      </c>
      <c r="W98" s="24">
        <v>1</v>
      </c>
      <c r="X98" s="24"/>
      <c r="Y98" s="24">
        <v>1</v>
      </c>
      <c r="Z98" s="24">
        <v>1</v>
      </c>
      <c r="AA98" s="24">
        <v>1</v>
      </c>
      <c r="AB98" s="24"/>
      <c r="AC98" s="24"/>
      <c r="AD98" s="24"/>
      <c r="AE98" s="24"/>
      <c r="AF98" s="24"/>
      <c r="AG98" s="24"/>
      <c r="AH98" s="24"/>
      <c r="AI98" s="24">
        <v>1</v>
      </c>
      <c r="AJ98" s="24"/>
      <c r="AK98" s="24"/>
      <c r="AL98" s="24"/>
      <c r="AM98" s="24">
        <v>1</v>
      </c>
      <c r="AN98" s="24">
        <v>1</v>
      </c>
      <c r="AO98" s="24"/>
      <c r="AP98" s="24"/>
      <c r="AQ98" s="24"/>
      <c r="AR98" s="24"/>
      <c r="AS98" s="24"/>
      <c r="AT98" s="24"/>
      <c r="AU98" s="24">
        <v>1</v>
      </c>
      <c r="AV98" s="24">
        <v>1</v>
      </c>
      <c r="AW98" s="24"/>
      <c r="AX98" s="24"/>
      <c r="AY98" s="24"/>
      <c r="AZ98" s="24"/>
      <c r="BA98" s="24"/>
      <c r="BB98" s="24">
        <v>1</v>
      </c>
      <c r="BC98" s="24">
        <v>1</v>
      </c>
      <c r="BD98" s="74">
        <v>1</v>
      </c>
      <c r="BE98" s="73"/>
      <c r="BF98" s="24">
        <v>1</v>
      </c>
      <c r="BG98" s="24"/>
      <c r="BH98" s="24"/>
      <c r="BI98" s="86"/>
      <c r="BJ98" s="24"/>
      <c r="BK98" s="95"/>
      <c r="BL98" s="73"/>
      <c r="BM98" s="24"/>
      <c r="BN98" s="24"/>
      <c r="BO98" s="24"/>
      <c r="BP98" s="24"/>
      <c r="BQ98" s="24"/>
      <c r="BR98" s="24">
        <v>1</v>
      </c>
      <c r="BS98" s="24"/>
      <c r="BT98" s="74"/>
    </row>
    <row r="99" spans="1:72" s="25" customFormat="1" x14ac:dyDescent="0.25">
      <c r="A99" s="23">
        <v>361</v>
      </c>
      <c r="B99" s="21" t="s">
        <v>2</v>
      </c>
      <c r="C99" s="21" t="s">
        <v>96</v>
      </c>
      <c r="D99" s="148" t="s">
        <v>7</v>
      </c>
      <c r="E99" s="149">
        <v>100000</v>
      </c>
      <c r="F99" s="148" t="s">
        <v>7</v>
      </c>
      <c r="G99" s="149">
        <v>200000</v>
      </c>
      <c r="H99" s="148" t="s">
        <v>4</v>
      </c>
      <c r="I99" s="148" t="s">
        <v>356</v>
      </c>
      <c r="J99" s="148" t="s">
        <v>357</v>
      </c>
      <c r="K99" s="148" t="s">
        <v>357</v>
      </c>
      <c r="L99" s="148" t="s">
        <v>356</v>
      </c>
      <c r="M99" s="66">
        <f t="shared" si="52"/>
        <v>0</v>
      </c>
      <c r="N99" s="73"/>
      <c r="O99" s="24"/>
      <c r="P99" s="24"/>
      <c r="Q99" s="24"/>
      <c r="R99" s="24"/>
      <c r="S99" s="86"/>
      <c r="T99" s="103"/>
      <c r="U99" s="73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74"/>
      <c r="BE99" s="73"/>
      <c r="BF99" s="24">
        <v>1</v>
      </c>
      <c r="BG99" s="24"/>
      <c r="BH99" s="24">
        <v>1</v>
      </c>
      <c r="BI99" s="86"/>
      <c r="BJ99" s="24"/>
      <c r="BK99" s="95"/>
      <c r="BL99" s="73"/>
      <c r="BM99" s="24">
        <v>1</v>
      </c>
      <c r="BN99" s="24"/>
      <c r="BO99" s="24"/>
      <c r="BP99" s="24"/>
      <c r="BQ99" s="24"/>
      <c r="BR99" s="24">
        <v>1</v>
      </c>
      <c r="BS99" s="24">
        <v>1</v>
      </c>
      <c r="BT99" s="74"/>
    </row>
    <row r="100" spans="1:72" s="25" customFormat="1" x14ac:dyDescent="0.25">
      <c r="A100" s="23">
        <v>363</v>
      </c>
      <c r="B100" s="21" t="s">
        <v>57</v>
      </c>
      <c r="C100" s="21" t="s">
        <v>97</v>
      </c>
      <c r="D100" s="148" t="s">
        <v>354</v>
      </c>
      <c r="E100" s="149">
        <v>500000</v>
      </c>
      <c r="F100" s="148"/>
      <c r="G100" s="148"/>
      <c r="H100" s="148" t="s">
        <v>4</v>
      </c>
      <c r="I100" s="148" t="s">
        <v>356</v>
      </c>
      <c r="J100" s="148" t="s">
        <v>356</v>
      </c>
      <c r="K100" s="148" t="s">
        <v>357</v>
      </c>
      <c r="L100" s="148" t="s">
        <v>357</v>
      </c>
      <c r="M100" s="66">
        <f t="shared" si="52"/>
        <v>7054</v>
      </c>
      <c r="N100" s="73"/>
      <c r="O100" s="24"/>
      <c r="P100" s="24">
        <v>7054</v>
      </c>
      <c r="Q100" s="24"/>
      <c r="R100" s="24"/>
      <c r="S100" s="86"/>
      <c r="T100" s="103"/>
      <c r="U100" s="73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>
        <v>1</v>
      </c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74"/>
      <c r="BE100" s="73">
        <v>1</v>
      </c>
      <c r="BF100" s="24"/>
      <c r="BG100" s="24"/>
      <c r="BH100" s="24"/>
      <c r="BI100" s="86"/>
      <c r="BJ100" s="24"/>
      <c r="BK100" s="95"/>
      <c r="BL100" s="73"/>
      <c r="BM100" s="24"/>
      <c r="BN100" s="24">
        <v>1</v>
      </c>
      <c r="BO100" s="24"/>
      <c r="BP100" s="24"/>
      <c r="BQ100" s="24"/>
      <c r="BR100" s="24"/>
      <c r="BS100" s="24"/>
      <c r="BT100" s="74"/>
    </row>
    <row r="101" spans="1:72" s="25" customFormat="1" ht="47.25" x14ac:dyDescent="0.25">
      <c r="A101" s="23">
        <v>367</v>
      </c>
      <c r="B101" s="21" t="s">
        <v>2</v>
      </c>
      <c r="C101" s="21" t="s">
        <v>98</v>
      </c>
      <c r="D101" s="148" t="s">
        <v>355</v>
      </c>
      <c r="E101" s="149">
        <v>1500000</v>
      </c>
      <c r="F101" s="148" t="s">
        <v>7</v>
      </c>
      <c r="G101" s="149">
        <v>200000</v>
      </c>
      <c r="H101" s="148" t="s">
        <v>4</v>
      </c>
      <c r="I101" s="148" t="s">
        <v>356</v>
      </c>
      <c r="J101" s="148" t="s">
        <v>356</v>
      </c>
      <c r="K101" s="148" t="s">
        <v>357</v>
      </c>
      <c r="L101" s="148" t="s">
        <v>356</v>
      </c>
      <c r="M101" s="66">
        <f t="shared" si="52"/>
        <v>1066387</v>
      </c>
      <c r="N101" s="73">
        <f>976082+45025+6163+39117</f>
        <v>1066387</v>
      </c>
      <c r="O101" s="24"/>
      <c r="P101" s="24"/>
      <c r="Q101" s="24"/>
      <c r="R101" s="24"/>
      <c r="S101" s="86"/>
      <c r="T101" s="103"/>
      <c r="U101" s="73">
        <v>1</v>
      </c>
      <c r="V101" s="24">
        <v>1</v>
      </c>
      <c r="W101" s="24">
        <v>1</v>
      </c>
      <c r="X101" s="24">
        <v>1</v>
      </c>
      <c r="Y101" s="24"/>
      <c r="Z101" s="24">
        <v>1</v>
      </c>
      <c r="AA101" s="24">
        <v>1</v>
      </c>
      <c r="AB101" s="24">
        <v>1</v>
      </c>
      <c r="AC101" s="24">
        <v>1</v>
      </c>
      <c r="AD101" s="24">
        <v>1</v>
      </c>
      <c r="AE101" s="24">
        <v>1</v>
      </c>
      <c r="AF101" s="24">
        <v>1</v>
      </c>
      <c r="AG101" s="24">
        <v>1</v>
      </c>
      <c r="AH101" s="24">
        <v>1</v>
      </c>
      <c r="AI101" s="24">
        <v>1</v>
      </c>
      <c r="AJ101" s="24"/>
      <c r="AK101" s="24">
        <v>1</v>
      </c>
      <c r="AL101" s="24">
        <v>1</v>
      </c>
      <c r="AM101" s="24"/>
      <c r="AN101" s="24">
        <v>1</v>
      </c>
      <c r="AO101" s="24">
        <v>1</v>
      </c>
      <c r="AP101" s="24">
        <v>1</v>
      </c>
      <c r="AQ101" s="24"/>
      <c r="AR101" s="24"/>
      <c r="AS101" s="24">
        <v>1</v>
      </c>
      <c r="AT101" s="24"/>
      <c r="AU101" s="24">
        <v>1</v>
      </c>
      <c r="AV101" s="24"/>
      <c r="AW101" s="24"/>
      <c r="AX101" s="24"/>
      <c r="AY101" s="24"/>
      <c r="AZ101" s="24"/>
      <c r="BA101" s="24">
        <v>1</v>
      </c>
      <c r="BB101" s="24"/>
      <c r="BC101" s="24"/>
      <c r="BD101" s="74"/>
      <c r="BE101" s="73">
        <v>1</v>
      </c>
      <c r="BF101" s="24">
        <v>1</v>
      </c>
      <c r="BG101" s="24">
        <v>1</v>
      </c>
      <c r="BH101" s="24">
        <v>1</v>
      </c>
      <c r="BI101" s="86"/>
      <c r="BJ101" s="24">
        <v>1</v>
      </c>
      <c r="BK101" s="95"/>
      <c r="BL101" s="73">
        <v>1</v>
      </c>
      <c r="BM101" s="24">
        <v>1</v>
      </c>
      <c r="BN101" s="24">
        <v>1</v>
      </c>
      <c r="BO101" s="24"/>
      <c r="BP101" s="24">
        <v>1</v>
      </c>
      <c r="BQ101" s="24"/>
      <c r="BR101" s="24">
        <v>1</v>
      </c>
      <c r="BS101" s="24">
        <v>1</v>
      </c>
      <c r="BT101" s="74"/>
    </row>
    <row r="102" spans="1:72" s="25" customFormat="1" x14ac:dyDescent="0.25">
      <c r="A102" s="23">
        <v>368</v>
      </c>
      <c r="B102" s="21" t="s">
        <v>2</v>
      </c>
      <c r="C102" s="21" t="s">
        <v>99</v>
      </c>
      <c r="D102" s="148" t="s">
        <v>7</v>
      </c>
      <c r="E102" s="149">
        <v>100000</v>
      </c>
      <c r="F102" s="148" t="s">
        <v>7</v>
      </c>
      <c r="G102" s="149">
        <v>200000</v>
      </c>
      <c r="H102" s="148" t="s">
        <v>4</v>
      </c>
      <c r="I102" s="148" t="s">
        <v>356</v>
      </c>
      <c r="J102" s="148" t="s">
        <v>357</v>
      </c>
      <c r="K102" s="148" t="s">
        <v>357</v>
      </c>
      <c r="L102" s="148" t="s">
        <v>356</v>
      </c>
      <c r="M102" s="66">
        <f t="shared" si="52"/>
        <v>0</v>
      </c>
      <c r="N102" s="73"/>
      <c r="O102" s="24"/>
      <c r="P102" s="24"/>
      <c r="Q102" s="24"/>
      <c r="R102" s="24"/>
      <c r="S102" s="86"/>
      <c r="T102" s="103"/>
      <c r="U102" s="73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74"/>
      <c r="BE102" s="73"/>
      <c r="BF102" s="24"/>
      <c r="BG102" s="24"/>
      <c r="BH102" s="24">
        <v>1</v>
      </c>
      <c r="BI102" s="86"/>
      <c r="BJ102" s="24"/>
      <c r="BK102" s="95"/>
      <c r="BL102" s="73">
        <v>1</v>
      </c>
      <c r="BM102" s="24">
        <v>1</v>
      </c>
      <c r="BN102" s="24">
        <v>1</v>
      </c>
      <c r="BO102" s="24"/>
      <c r="BP102" s="24"/>
      <c r="BQ102" s="24"/>
      <c r="BR102" s="24"/>
      <c r="BS102" s="24">
        <v>1</v>
      </c>
      <c r="BT102" s="74"/>
    </row>
    <row r="103" spans="1:72" s="25" customFormat="1" ht="47.25" x14ac:dyDescent="0.25">
      <c r="A103" s="23">
        <v>369</v>
      </c>
      <c r="B103" s="21" t="s">
        <v>100</v>
      </c>
      <c r="C103" s="21" t="s">
        <v>101</v>
      </c>
      <c r="D103" s="148" t="s">
        <v>7</v>
      </c>
      <c r="E103" s="149">
        <v>100000</v>
      </c>
      <c r="F103" s="148"/>
      <c r="G103" s="148"/>
      <c r="H103" s="148" t="s">
        <v>4</v>
      </c>
      <c r="I103" s="148" t="s">
        <v>356</v>
      </c>
      <c r="J103" s="148" t="s">
        <v>357</v>
      </c>
      <c r="K103" s="148" t="s">
        <v>357</v>
      </c>
      <c r="L103" s="148" t="s">
        <v>357</v>
      </c>
      <c r="M103" s="66">
        <f t="shared" si="52"/>
        <v>4682.95</v>
      </c>
      <c r="N103" s="73"/>
      <c r="O103" s="24"/>
      <c r="P103" s="24">
        <v>4682.95</v>
      </c>
      <c r="Q103" s="24"/>
      <c r="R103" s="24"/>
      <c r="S103" s="86"/>
      <c r="T103" s="103"/>
      <c r="U103" s="73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74">
        <v>1</v>
      </c>
      <c r="BE103" s="73">
        <v>1</v>
      </c>
      <c r="BF103" s="24">
        <v>1</v>
      </c>
      <c r="BG103" s="24"/>
      <c r="BH103" s="24"/>
      <c r="BI103" s="86"/>
      <c r="BJ103" s="24">
        <v>1</v>
      </c>
      <c r="BK103" s="95"/>
      <c r="BL103" s="73"/>
      <c r="BM103" s="24">
        <v>1</v>
      </c>
      <c r="BN103" s="24"/>
      <c r="BO103" s="24"/>
      <c r="BP103" s="24"/>
      <c r="BQ103" s="24"/>
      <c r="BR103" s="24"/>
      <c r="BS103" s="24"/>
      <c r="BT103" s="74"/>
    </row>
    <row r="104" spans="1:72" s="25" customFormat="1" x14ac:dyDescent="0.25">
      <c r="A104" s="23">
        <v>371</v>
      </c>
      <c r="B104" s="21" t="s">
        <v>2</v>
      </c>
      <c r="C104" s="21" t="s">
        <v>102</v>
      </c>
      <c r="D104" s="148" t="s">
        <v>355</v>
      </c>
      <c r="E104" s="149">
        <v>1500000</v>
      </c>
      <c r="F104" s="148" t="s">
        <v>7</v>
      </c>
      <c r="G104" s="149">
        <v>200000</v>
      </c>
      <c r="H104" s="148" t="s">
        <v>4</v>
      </c>
      <c r="I104" s="148" t="s">
        <v>356</v>
      </c>
      <c r="J104" s="148" t="s">
        <v>357</v>
      </c>
      <c r="K104" s="148" t="s">
        <v>357</v>
      </c>
      <c r="L104" s="148" t="s">
        <v>356</v>
      </c>
      <c r="M104" s="66">
        <f t="shared" si="52"/>
        <v>832754.72</v>
      </c>
      <c r="N104" s="73">
        <f>4508.14+827618.13+455.45</f>
        <v>832581.72</v>
      </c>
      <c r="O104" s="24"/>
      <c r="P104" s="24">
        <v>173</v>
      </c>
      <c r="Q104" s="24"/>
      <c r="R104" s="24"/>
      <c r="S104" s="86"/>
      <c r="T104" s="103"/>
      <c r="U104" s="73">
        <v>1</v>
      </c>
      <c r="V104" s="24"/>
      <c r="W104" s="24"/>
      <c r="X104" s="24"/>
      <c r="Y104" s="24"/>
      <c r="Z104" s="24">
        <v>1</v>
      </c>
      <c r="AA104" s="24">
        <v>1</v>
      </c>
      <c r="AB104" s="24">
        <v>1</v>
      </c>
      <c r="AC104" s="24">
        <v>1</v>
      </c>
      <c r="AD104" s="24">
        <v>1</v>
      </c>
      <c r="AE104" s="24">
        <v>1</v>
      </c>
      <c r="AF104" s="24">
        <v>1</v>
      </c>
      <c r="AG104" s="24">
        <v>1</v>
      </c>
      <c r="AH104" s="24">
        <v>1</v>
      </c>
      <c r="AI104" s="24">
        <v>1</v>
      </c>
      <c r="AJ104" s="24"/>
      <c r="AK104" s="24"/>
      <c r="AL104" s="24">
        <v>1</v>
      </c>
      <c r="AM104" s="24">
        <v>1</v>
      </c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74"/>
      <c r="BE104" s="73"/>
      <c r="BF104" s="24"/>
      <c r="BG104" s="24">
        <v>1</v>
      </c>
      <c r="BH104" s="24">
        <v>1</v>
      </c>
      <c r="BI104" s="86"/>
      <c r="BJ104" s="24"/>
      <c r="BK104" s="95"/>
      <c r="BL104" s="73">
        <v>1</v>
      </c>
      <c r="BM104" s="24">
        <v>1</v>
      </c>
      <c r="BN104" s="24"/>
      <c r="BO104" s="24"/>
      <c r="BP104" s="24"/>
      <c r="BQ104" s="24"/>
      <c r="BR104" s="24">
        <v>1</v>
      </c>
      <c r="BS104" s="24">
        <v>1</v>
      </c>
      <c r="BT104" s="74"/>
    </row>
    <row r="105" spans="1:72" s="25" customFormat="1" x14ac:dyDescent="0.25">
      <c r="A105" s="23">
        <v>372</v>
      </c>
      <c r="B105" s="21" t="s">
        <v>2</v>
      </c>
      <c r="C105" s="21" t="s">
        <v>103</v>
      </c>
      <c r="D105" s="148" t="s">
        <v>354</v>
      </c>
      <c r="E105" s="149">
        <v>500000</v>
      </c>
      <c r="F105" s="148" t="s">
        <v>355</v>
      </c>
      <c r="G105" s="149">
        <v>4500000</v>
      </c>
      <c r="H105" s="148" t="s">
        <v>4</v>
      </c>
      <c r="I105" s="148" t="s">
        <v>356</v>
      </c>
      <c r="J105" s="148" t="s">
        <v>356</v>
      </c>
      <c r="K105" s="148" t="s">
        <v>357</v>
      </c>
      <c r="L105" s="148" t="s">
        <v>356</v>
      </c>
      <c r="M105" s="66">
        <f t="shared" si="52"/>
        <v>302689.82000000007</v>
      </c>
      <c r="N105" s="73">
        <f>46860.75+935.36+16747.01+3668.97+71754.05+16926.83+6570.21+1061.66+5077.89</f>
        <v>169602.73000000004</v>
      </c>
      <c r="O105" s="24">
        <f>103918+11819.14</f>
        <v>115737.14</v>
      </c>
      <c r="P105" s="24">
        <v>17349.95</v>
      </c>
      <c r="Q105" s="24"/>
      <c r="R105" s="24"/>
      <c r="S105" s="86"/>
      <c r="T105" s="103"/>
      <c r="U105" s="73"/>
      <c r="V105" s="24">
        <v>1</v>
      </c>
      <c r="W105" s="24"/>
      <c r="X105" s="24"/>
      <c r="Y105" s="24">
        <v>1</v>
      </c>
      <c r="Z105" s="24">
        <v>1</v>
      </c>
      <c r="AA105" s="24">
        <v>1</v>
      </c>
      <c r="AB105" s="24"/>
      <c r="AC105" s="24"/>
      <c r="AD105" s="24"/>
      <c r="AE105" s="24"/>
      <c r="AF105" s="24"/>
      <c r="AG105" s="24"/>
      <c r="AH105" s="24"/>
      <c r="AI105" s="24"/>
      <c r="AJ105" s="24">
        <v>1</v>
      </c>
      <c r="AK105" s="24"/>
      <c r="AL105" s="24">
        <v>1</v>
      </c>
      <c r="AM105" s="24">
        <v>1</v>
      </c>
      <c r="AN105" s="24"/>
      <c r="AO105" s="24"/>
      <c r="AP105" s="24"/>
      <c r="AQ105" s="24"/>
      <c r="AR105" s="24"/>
      <c r="AS105" s="24"/>
      <c r="AT105" s="24">
        <v>1</v>
      </c>
      <c r="AU105" s="24"/>
      <c r="AV105" s="24"/>
      <c r="AW105" s="24"/>
      <c r="AX105" s="24"/>
      <c r="AY105" s="24">
        <v>1</v>
      </c>
      <c r="AZ105" s="24"/>
      <c r="BA105" s="24"/>
      <c r="BB105" s="24"/>
      <c r="BC105" s="24"/>
      <c r="BD105" s="74"/>
      <c r="BE105" s="73"/>
      <c r="BF105" s="24"/>
      <c r="BG105" s="24"/>
      <c r="BH105" s="24"/>
      <c r="BI105" s="86"/>
      <c r="BJ105" s="24"/>
      <c r="BK105" s="95"/>
      <c r="BL105" s="73"/>
      <c r="BM105" s="24"/>
      <c r="BN105" s="24"/>
      <c r="BO105" s="24"/>
      <c r="BP105" s="24"/>
      <c r="BQ105" s="24"/>
      <c r="BR105" s="24"/>
      <c r="BS105" s="24"/>
      <c r="BT105" s="74"/>
    </row>
    <row r="106" spans="1:72" s="25" customFormat="1" x14ac:dyDescent="0.25">
      <c r="A106" s="23">
        <v>373</v>
      </c>
      <c r="B106" s="21" t="s">
        <v>104</v>
      </c>
      <c r="C106" s="21" t="s">
        <v>105</v>
      </c>
      <c r="D106" s="148" t="s">
        <v>7</v>
      </c>
      <c r="E106" s="149">
        <v>100000</v>
      </c>
      <c r="F106" s="148"/>
      <c r="G106" s="148"/>
      <c r="H106" s="148" t="s">
        <v>4</v>
      </c>
      <c r="I106" s="148" t="s">
        <v>356</v>
      </c>
      <c r="J106" s="148" t="s">
        <v>357</v>
      </c>
      <c r="K106" s="148" t="s">
        <v>357</v>
      </c>
      <c r="L106" s="148" t="s">
        <v>357</v>
      </c>
      <c r="M106" s="66">
        <f t="shared" si="52"/>
        <v>0</v>
      </c>
      <c r="N106" s="73"/>
      <c r="O106" s="24"/>
      <c r="P106" s="24"/>
      <c r="Q106" s="24"/>
      <c r="R106" s="24"/>
      <c r="S106" s="86"/>
      <c r="T106" s="103"/>
      <c r="U106" s="73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74"/>
      <c r="BE106" s="73"/>
      <c r="BF106" s="24"/>
      <c r="BG106" s="24"/>
      <c r="BH106" s="24">
        <v>1</v>
      </c>
      <c r="BI106" s="86"/>
      <c r="BJ106" s="24">
        <v>1</v>
      </c>
      <c r="BK106" s="95"/>
      <c r="BL106" s="73">
        <v>1</v>
      </c>
      <c r="BM106" s="24">
        <v>1</v>
      </c>
      <c r="BN106" s="24"/>
      <c r="BO106" s="24"/>
      <c r="BP106" s="24"/>
      <c r="BQ106" s="24"/>
      <c r="BR106" s="24">
        <v>1</v>
      </c>
      <c r="BS106" s="24">
        <v>1</v>
      </c>
      <c r="BT106" s="74"/>
    </row>
    <row r="107" spans="1:72" s="25" customFormat="1" x14ac:dyDescent="0.25">
      <c r="A107" s="23">
        <v>375</v>
      </c>
      <c r="B107" s="21" t="s">
        <v>2</v>
      </c>
      <c r="C107" s="21" t="s">
        <v>106</v>
      </c>
      <c r="D107" s="148" t="s">
        <v>354</v>
      </c>
      <c r="E107" s="149">
        <v>500000</v>
      </c>
      <c r="F107" s="148" t="s">
        <v>7</v>
      </c>
      <c r="G107" s="149">
        <v>200000</v>
      </c>
      <c r="H107" s="148" t="s">
        <v>4</v>
      </c>
      <c r="I107" s="148" t="s">
        <v>356</v>
      </c>
      <c r="J107" s="148" t="s">
        <v>356</v>
      </c>
      <c r="K107" s="148" t="s">
        <v>357</v>
      </c>
      <c r="L107" s="148" t="s">
        <v>356</v>
      </c>
      <c r="M107" s="66">
        <f t="shared" si="52"/>
        <v>130101.13202999999</v>
      </c>
      <c r="N107" s="73">
        <f>1035.79078+8807.02157+39965.55607+20758.92506+37995.11035+4918.85+1468.14+1138.51+14013.2282</f>
        <v>130101.13202999999</v>
      </c>
      <c r="O107" s="24"/>
      <c r="P107" s="24"/>
      <c r="Q107" s="24"/>
      <c r="R107" s="24"/>
      <c r="S107" s="86"/>
      <c r="T107" s="103">
        <v>1.8</v>
      </c>
      <c r="U107" s="73"/>
      <c r="V107" s="24">
        <v>1</v>
      </c>
      <c r="W107" s="24"/>
      <c r="X107" s="24"/>
      <c r="Y107" s="24">
        <v>1</v>
      </c>
      <c r="Z107" s="24">
        <v>1</v>
      </c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>
        <v>1</v>
      </c>
      <c r="AL107" s="24">
        <v>1</v>
      </c>
      <c r="AM107" s="24"/>
      <c r="AN107" s="24"/>
      <c r="AO107" s="24"/>
      <c r="AP107" s="24"/>
      <c r="AQ107" s="24"/>
      <c r="AR107" s="24"/>
      <c r="AS107" s="24">
        <v>1</v>
      </c>
      <c r="AT107" s="24"/>
      <c r="AU107" s="24">
        <v>1</v>
      </c>
      <c r="AV107" s="24"/>
      <c r="AW107" s="24"/>
      <c r="AX107" s="24"/>
      <c r="AY107" s="24"/>
      <c r="AZ107" s="24"/>
      <c r="BA107" s="24"/>
      <c r="BB107" s="24"/>
      <c r="BC107" s="24"/>
      <c r="BD107" s="74"/>
      <c r="BE107" s="73"/>
      <c r="BF107" s="24"/>
      <c r="BG107" s="24">
        <v>1</v>
      </c>
      <c r="BH107" s="24">
        <v>1</v>
      </c>
      <c r="BI107" s="86"/>
      <c r="BJ107" s="24"/>
      <c r="BK107" s="95"/>
      <c r="BL107" s="73">
        <v>1</v>
      </c>
      <c r="BM107" s="24">
        <v>1</v>
      </c>
      <c r="BN107" s="24"/>
      <c r="BO107" s="24"/>
      <c r="BP107" s="24"/>
      <c r="BQ107" s="24"/>
      <c r="BR107" s="24">
        <v>1</v>
      </c>
      <c r="BS107" s="24">
        <v>1</v>
      </c>
      <c r="BT107" s="74"/>
    </row>
    <row r="108" spans="1:72" s="25" customFormat="1" x14ac:dyDescent="0.25">
      <c r="A108" s="23">
        <v>378</v>
      </c>
      <c r="B108" s="21" t="s">
        <v>2</v>
      </c>
      <c r="C108" s="21" t="s">
        <v>107</v>
      </c>
      <c r="D108" s="148" t="s">
        <v>7</v>
      </c>
      <c r="E108" s="149">
        <v>100000</v>
      </c>
      <c r="F108" s="148" t="s">
        <v>7</v>
      </c>
      <c r="G108" s="149">
        <v>200000</v>
      </c>
      <c r="H108" s="148" t="s">
        <v>4</v>
      </c>
      <c r="I108" s="148" t="s">
        <v>356</v>
      </c>
      <c r="J108" s="148" t="s">
        <v>357</v>
      </c>
      <c r="K108" s="148" t="s">
        <v>357</v>
      </c>
      <c r="L108" s="148" t="s">
        <v>356</v>
      </c>
      <c r="M108" s="66">
        <f t="shared" si="52"/>
        <v>81078.114319999993</v>
      </c>
      <c r="N108" s="73"/>
      <c r="O108" s="24"/>
      <c r="P108" s="26">
        <f>9142.6748+71935.43952</f>
        <v>81078.114319999993</v>
      </c>
      <c r="Q108" s="24"/>
      <c r="R108" s="24"/>
      <c r="S108" s="86"/>
      <c r="T108" s="103">
        <v>8</v>
      </c>
      <c r="U108" s="73"/>
      <c r="V108" s="24">
        <v>1</v>
      </c>
      <c r="W108" s="24"/>
      <c r="X108" s="24"/>
      <c r="Y108" s="24"/>
      <c r="Z108" s="24">
        <v>1</v>
      </c>
      <c r="AA108" s="24">
        <v>1</v>
      </c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>
        <v>1</v>
      </c>
      <c r="AS108" s="24">
        <v>1</v>
      </c>
      <c r="AT108" s="24"/>
      <c r="AU108" s="24"/>
      <c r="AV108" s="24"/>
      <c r="AW108" s="24"/>
      <c r="AX108" s="24"/>
      <c r="AY108" s="24">
        <v>1</v>
      </c>
      <c r="AZ108" s="24"/>
      <c r="BA108" s="24"/>
      <c r="BB108" s="24"/>
      <c r="BC108" s="24"/>
      <c r="BD108" s="74"/>
      <c r="BE108" s="73"/>
      <c r="BF108" s="24"/>
      <c r="BG108" s="24">
        <v>1</v>
      </c>
      <c r="BH108" s="24"/>
      <c r="BI108" s="86"/>
      <c r="BJ108" s="24">
        <v>1</v>
      </c>
      <c r="BK108" s="95">
        <v>1</v>
      </c>
      <c r="BL108" s="73"/>
      <c r="BM108" s="24"/>
      <c r="BN108" s="24"/>
      <c r="BO108" s="24"/>
      <c r="BP108" s="24">
        <v>1</v>
      </c>
      <c r="BQ108" s="24"/>
      <c r="BR108" s="24"/>
      <c r="BS108" s="24"/>
      <c r="BT108" s="74"/>
    </row>
    <row r="109" spans="1:72" s="25" customFormat="1" x14ac:dyDescent="0.25">
      <c r="A109" s="23">
        <v>381</v>
      </c>
      <c r="B109" s="21" t="s">
        <v>2</v>
      </c>
      <c r="C109" s="21" t="s">
        <v>108</v>
      </c>
      <c r="D109" s="148" t="s">
        <v>7</v>
      </c>
      <c r="E109" s="149">
        <v>100000</v>
      </c>
      <c r="F109" s="148" t="s">
        <v>7</v>
      </c>
      <c r="G109" s="149">
        <v>200000</v>
      </c>
      <c r="H109" s="148" t="s">
        <v>4</v>
      </c>
      <c r="I109" s="148" t="s">
        <v>356</v>
      </c>
      <c r="J109" s="148" t="s">
        <v>357</v>
      </c>
      <c r="K109" s="148" t="s">
        <v>357</v>
      </c>
      <c r="L109" s="148" t="s">
        <v>356</v>
      </c>
      <c r="M109" s="66">
        <f t="shared" si="52"/>
        <v>0</v>
      </c>
      <c r="N109" s="73"/>
      <c r="O109" s="24"/>
      <c r="P109" s="24"/>
      <c r="Q109" s="24"/>
      <c r="R109" s="24"/>
      <c r="S109" s="86"/>
      <c r="T109" s="103"/>
      <c r="U109" s="73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74"/>
      <c r="BE109" s="73"/>
      <c r="BF109" s="24"/>
      <c r="BG109" s="24">
        <v>1</v>
      </c>
      <c r="BH109" s="24"/>
      <c r="BI109" s="86"/>
      <c r="BJ109" s="24">
        <v>1</v>
      </c>
      <c r="BK109" s="95"/>
      <c r="BL109" s="73">
        <v>1</v>
      </c>
      <c r="BM109" s="24">
        <v>1</v>
      </c>
      <c r="BN109" s="24"/>
      <c r="BO109" s="24"/>
      <c r="BP109" s="24"/>
      <c r="BQ109" s="24"/>
      <c r="BR109" s="24"/>
      <c r="BS109" s="24">
        <v>1</v>
      </c>
      <c r="BT109" s="74"/>
    </row>
    <row r="110" spans="1:72" s="25" customFormat="1" x14ac:dyDescent="0.25">
      <c r="A110" s="23">
        <v>384</v>
      </c>
      <c r="B110" s="21" t="s">
        <v>2</v>
      </c>
      <c r="C110" s="21" t="s">
        <v>109</v>
      </c>
      <c r="D110" s="148" t="s">
        <v>360</v>
      </c>
      <c r="E110" s="149">
        <v>5000000</v>
      </c>
      <c r="F110" s="148" t="s">
        <v>360</v>
      </c>
      <c r="G110" s="149">
        <v>25000000</v>
      </c>
      <c r="H110" s="148" t="s">
        <v>4</v>
      </c>
      <c r="I110" s="148" t="s">
        <v>356</v>
      </c>
      <c r="J110" s="148" t="s">
        <v>356</v>
      </c>
      <c r="K110" s="148" t="s">
        <v>357</v>
      </c>
      <c r="L110" s="148" t="s">
        <v>356</v>
      </c>
      <c r="M110" s="66">
        <f t="shared" si="52"/>
        <v>16746411</v>
      </c>
      <c r="N110" s="73">
        <f>34631+1444484+183480+1513712+12093674+33830+2982+66255</f>
        <v>15373048</v>
      </c>
      <c r="O110" s="24"/>
      <c r="P110" s="24">
        <f>359+87354</f>
        <v>87713</v>
      </c>
      <c r="Q110" s="24">
        <f>1280219+5431</f>
        <v>1285650</v>
      </c>
      <c r="R110" s="24"/>
      <c r="S110" s="86"/>
      <c r="T110" s="103">
        <v>8</v>
      </c>
      <c r="U110" s="73">
        <v>1</v>
      </c>
      <c r="V110" s="24">
        <v>1</v>
      </c>
      <c r="W110" s="24">
        <v>1</v>
      </c>
      <c r="X110" s="24"/>
      <c r="Y110" s="24">
        <v>1</v>
      </c>
      <c r="Z110" s="24">
        <v>1</v>
      </c>
      <c r="AA110" s="24">
        <v>1</v>
      </c>
      <c r="AB110" s="24">
        <v>1</v>
      </c>
      <c r="AC110" s="24">
        <v>1</v>
      </c>
      <c r="AD110" s="24">
        <v>1</v>
      </c>
      <c r="AE110" s="24">
        <v>1</v>
      </c>
      <c r="AF110" s="24"/>
      <c r="AG110" s="24">
        <v>1</v>
      </c>
      <c r="AH110" s="24"/>
      <c r="AI110" s="24">
        <v>1</v>
      </c>
      <c r="AJ110" s="24"/>
      <c r="AK110" s="24">
        <v>1</v>
      </c>
      <c r="AL110" s="24"/>
      <c r="AM110" s="24"/>
      <c r="AN110" s="24"/>
      <c r="AO110" s="24"/>
      <c r="AP110" s="24"/>
      <c r="AQ110" s="24">
        <v>1</v>
      </c>
      <c r="AR110" s="24"/>
      <c r="AS110" s="24"/>
      <c r="AT110" s="24"/>
      <c r="AU110" s="24">
        <v>1</v>
      </c>
      <c r="AV110" s="24">
        <v>1</v>
      </c>
      <c r="AW110" s="24"/>
      <c r="AX110" s="24"/>
      <c r="AY110" s="24"/>
      <c r="AZ110" s="24"/>
      <c r="BA110" s="24"/>
      <c r="BB110" s="24">
        <v>1</v>
      </c>
      <c r="BC110" s="24">
        <v>1</v>
      </c>
      <c r="BD110" s="74"/>
      <c r="BE110" s="73"/>
      <c r="BF110" s="24"/>
      <c r="BG110" s="24">
        <v>1</v>
      </c>
      <c r="BH110" s="24"/>
      <c r="BI110" s="86"/>
      <c r="BJ110" s="24"/>
      <c r="BK110" s="95"/>
      <c r="BL110" s="73"/>
      <c r="BM110" s="24"/>
      <c r="BN110" s="24"/>
      <c r="BO110" s="24"/>
      <c r="BP110" s="24"/>
      <c r="BQ110" s="24"/>
      <c r="BR110" s="24">
        <v>1</v>
      </c>
      <c r="BS110" s="24"/>
      <c r="BT110" s="74"/>
    </row>
    <row r="111" spans="1:72" s="25" customFormat="1" x14ac:dyDescent="0.25">
      <c r="A111" s="23">
        <v>387</v>
      </c>
      <c r="B111" s="21" t="s">
        <v>2</v>
      </c>
      <c r="C111" s="21" t="s">
        <v>110</v>
      </c>
      <c r="D111" s="148" t="s">
        <v>7</v>
      </c>
      <c r="E111" s="149">
        <v>100000</v>
      </c>
      <c r="F111" s="148" t="s">
        <v>7</v>
      </c>
      <c r="G111" s="149">
        <v>200000</v>
      </c>
      <c r="H111" s="148" t="s">
        <v>4</v>
      </c>
      <c r="I111" s="148" t="s">
        <v>356</v>
      </c>
      <c r="J111" s="148" t="s">
        <v>357</v>
      </c>
      <c r="K111" s="148" t="s">
        <v>357</v>
      </c>
      <c r="L111" s="148" t="s">
        <v>356</v>
      </c>
      <c r="M111" s="66">
        <f t="shared" si="52"/>
        <v>20983.897980000002</v>
      </c>
      <c r="N111" s="73"/>
      <c r="O111" s="24"/>
      <c r="P111" s="24">
        <f>1304.14798+9913+9766.75</f>
        <v>20983.897980000002</v>
      </c>
      <c r="Q111" s="24"/>
      <c r="R111" s="24"/>
      <c r="S111" s="86"/>
      <c r="T111" s="103"/>
      <c r="U111" s="73">
        <v>1</v>
      </c>
      <c r="V111" s="24">
        <v>1</v>
      </c>
      <c r="W111" s="24"/>
      <c r="X111" s="24"/>
      <c r="Y111" s="24"/>
      <c r="Z111" s="24"/>
      <c r="AA111" s="24"/>
      <c r="AB111" s="24"/>
      <c r="AC111" s="24"/>
      <c r="AD111" s="24"/>
      <c r="AE111" s="24">
        <v>1</v>
      </c>
      <c r="AF111" s="24">
        <v>1</v>
      </c>
      <c r="AG111" s="24">
        <v>1</v>
      </c>
      <c r="AH111" s="24">
        <v>1</v>
      </c>
      <c r="AI111" s="24">
        <v>1</v>
      </c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>
        <v>1</v>
      </c>
      <c r="BC111" s="24"/>
      <c r="BD111" s="74"/>
      <c r="BE111" s="73"/>
      <c r="BF111" s="24"/>
      <c r="BG111" s="24"/>
      <c r="BH111" s="24"/>
      <c r="BI111" s="86"/>
      <c r="BJ111" s="24"/>
      <c r="BK111" s="95"/>
      <c r="BL111" s="73"/>
      <c r="BM111" s="24"/>
      <c r="BN111" s="24"/>
      <c r="BO111" s="24"/>
      <c r="BP111" s="24"/>
      <c r="BQ111" s="24"/>
      <c r="BR111" s="24"/>
      <c r="BS111" s="24"/>
      <c r="BT111" s="74"/>
    </row>
    <row r="112" spans="1:72" s="25" customFormat="1" x14ac:dyDescent="0.25">
      <c r="A112" s="23">
        <v>388</v>
      </c>
      <c r="B112" s="21" t="s">
        <v>2</v>
      </c>
      <c r="C112" s="21" t="s">
        <v>111</v>
      </c>
      <c r="D112" s="148" t="s">
        <v>7</v>
      </c>
      <c r="E112" s="149">
        <v>100000</v>
      </c>
      <c r="F112" s="148"/>
      <c r="G112" s="148"/>
      <c r="H112" s="148" t="s">
        <v>4</v>
      </c>
      <c r="I112" s="148" t="s">
        <v>356</v>
      </c>
      <c r="J112" s="148" t="s">
        <v>357</v>
      </c>
      <c r="K112" s="148" t="s">
        <v>357</v>
      </c>
      <c r="L112" s="148" t="s">
        <v>357</v>
      </c>
      <c r="M112" s="66">
        <f t="shared" si="52"/>
        <v>137390</v>
      </c>
      <c r="N112" s="73"/>
      <c r="O112" s="24"/>
      <c r="P112" s="24">
        <f>67510+1500+5518+2483+2919+331+3045+609+413+53062</f>
        <v>137390</v>
      </c>
      <c r="Q112" s="24"/>
      <c r="R112" s="24"/>
      <c r="S112" s="86"/>
      <c r="T112" s="103">
        <v>8</v>
      </c>
      <c r="U112" s="73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>
        <v>1</v>
      </c>
      <c r="AU112" s="24"/>
      <c r="AV112" s="24"/>
      <c r="AW112" s="24"/>
      <c r="AX112" s="24"/>
      <c r="AY112" s="24"/>
      <c r="AZ112" s="24"/>
      <c r="BA112" s="24"/>
      <c r="BB112" s="24"/>
      <c r="BC112" s="24"/>
      <c r="BD112" s="74"/>
      <c r="BE112" s="73"/>
      <c r="BF112" s="24"/>
      <c r="BG112" s="24"/>
      <c r="BH112" s="24"/>
      <c r="BI112" s="86"/>
      <c r="BJ112" s="24">
        <v>1</v>
      </c>
      <c r="BK112" s="95"/>
      <c r="BL112" s="73"/>
      <c r="BM112" s="24"/>
      <c r="BN112" s="24"/>
      <c r="BO112" s="24"/>
      <c r="BP112" s="24"/>
      <c r="BQ112" s="24"/>
      <c r="BR112" s="24"/>
      <c r="BS112" s="24"/>
      <c r="BT112" s="74">
        <v>1</v>
      </c>
    </row>
    <row r="113" spans="1:72" s="25" customFormat="1" ht="31.5" x14ac:dyDescent="0.25">
      <c r="A113" s="23">
        <v>390</v>
      </c>
      <c r="B113" s="21" t="s">
        <v>104</v>
      </c>
      <c r="C113" s="21" t="s">
        <v>112</v>
      </c>
      <c r="D113" s="148" t="s">
        <v>354</v>
      </c>
      <c r="E113" s="149">
        <v>500000</v>
      </c>
      <c r="F113" s="148" t="s">
        <v>354</v>
      </c>
      <c r="G113" s="149">
        <v>2500000</v>
      </c>
      <c r="H113" s="148" t="s">
        <v>4</v>
      </c>
      <c r="I113" s="148" t="s">
        <v>356</v>
      </c>
      <c r="J113" s="148" t="s">
        <v>356</v>
      </c>
      <c r="K113" s="148" t="s">
        <v>357</v>
      </c>
      <c r="L113" s="148" t="s">
        <v>356</v>
      </c>
      <c r="M113" s="66">
        <f t="shared" si="52"/>
        <v>139113.97479000001</v>
      </c>
      <c r="N113" s="73"/>
      <c r="O113" s="24"/>
      <c r="P113" s="24">
        <f>5829.6103+14354.10008+115802.99329+2814.74436+312.52676</f>
        <v>139113.97479000001</v>
      </c>
      <c r="Q113" s="24"/>
      <c r="R113" s="24"/>
      <c r="S113" s="86"/>
      <c r="T113" s="103">
        <v>8</v>
      </c>
      <c r="U113" s="73"/>
      <c r="V113" s="24"/>
      <c r="W113" s="24"/>
      <c r="X113" s="24"/>
      <c r="Y113" s="24"/>
      <c r="Z113" s="24"/>
      <c r="AA113" s="24"/>
      <c r="AB113" s="24"/>
      <c r="AC113" s="24"/>
      <c r="AD113" s="24"/>
      <c r="AE113" s="24">
        <v>1</v>
      </c>
      <c r="AF113" s="24">
        <v>1</v>
      </c>
      <c r="AG113" s="24">
        <v>1</v>
      </c>
      <c r="AH113" s="24">
        <v>1</v>
      </c>
      <c r="AI113" s="24">
        <v>1</v>
      </c>
      <c r="AJ113" s="24"/>
      <c r="AK113" s="24"/>
      <c r="AL113" s="24">
        <v>1</v>
      </c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74"/>
      <c r="BE113" s="73">
        <v>1</v>
      </c>
      <c r="BF113" s="24"/>
      <c r="BG113" s="24">
        <v>1</v>
      </c>
      <c r="BH113" s="24"/>
      <c r="BI113" s="86"/>
      <c r="BJ113" s="24">
        <v>1</v>
      </c>
      <c r="BK113" s="95"/>
      <c r="BL113" s="73">
        <v>1</v>
      </c>
      <c r="BM113" s="24">
        <v>1</v>
      </c>
      <c r="BN113" s="24"/>
      <c r="BO113" s="24"/>
      <c r="BP113" s="24"/>
      <c r="BQ113" s="24"/>
      <c r="BR113" s="24">
        <v>1</v>
      </c>
      <c r="BS113" s="24">
        <v>1</v>
      </c>
      <c r="BT113" s="74"/>
    </row>
    <row r="114" spans="1:72" s="142" customFormat="1" ht="31.5" x14ac:dyDescent="0.25">
      <c r="A114" s="133">
        <v>393</v>
      </c>
      <c r="B114" s="134" t="s">
        <v>2</v>
      </c>
      <c r="C114" s="134" t="s">
        <v>113</v>
      </c>
      <c r="D114" s="154" t="s">
        <v>354</v>
      </c>
      <c r="E114" s="155">
        <v>500000</v>
      </c>
      <c r="F114" s="154" t="s">
        <v>7</v>
      </c>
      <c r="G114" s="155">
        <v>200000</v>
      </c>
      <c r="H114" s="154" t="s">
        <v>359</v>
      </c>
      <c r="I114" s="154" t="s">
        <v>356</v>
      </c>
      <c r="J114" s="154" t="s">
        <v>356</v>
      </c>
      <c r="K114" s="154" t="s">
        <v>357</v>
      </c>
      <c r="L114" s="154" t="s">
        <v>356</v>
      </c>
      <c r="M114" s="135">
        <f t="shared" si="52"/>
        <v>77567.325150000004</v>
      </c>
      <c r="N114" s="136">
        <f>2843.93563+3485.79633+3787.722+9040.25349+1698.08136+23948.10808+15612.43117+2169.06953+1972.58045+13009.34711</f>
        <v>77567.325150000004</v>
      </c>
      <c r="O114" s="137"/>
      <c r="P114" s="137"/>
      <c r="Q114" s="137"/>
      <c r="R114" s="137"/>
      <c r="S114" s="138"/>
      <c r="T114" s="139">
        <v>5.8</v>
      </c>
      <c r="U114" s="136">
        <v>1</v>
      </c>
      <c r="V114" s="137">
        <v>1</v>
      </c>
      <c r="W114" s="137">
        <v>1</v>
      </c>
      <c r="X114" s="137">
        <v>1</v>
      </c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>
        <v>1</v>
      </c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>
        <v>1</v>
      </c>
      <c r="AZ114" s="137"/>
      <c r="BA114" s="137"/>
      <c r="BB114" s="137">
        <v>1</v>
      </c>
      <c r="BC114" s="137"/>
      <c r="BD114" s="140"/>
      <c r="BE114" s="136">
        <v>1</v>
      </c>
      <c r="BF114" s="137"/>
      <c r="BG114" s="137">
        <v>1</v>
      </c>
      <c r="BH114" s="137">
        <v>1</v>
      </c>
      <c r="BI114" s="138"/>
      <c r="BJ114" s="137">
        <v>1</v>
      </c>
      <c r="BK114" s="141"/>
      <c r="BL114" s="136">
        <v>1</v>
      </c>
      <c r="BM114" s="137">
        <v>1</v>
      </c>
      <c r="BN114" s="137"/>
      <c r="BO114" s="137"/>
      <c r="BP114" s="137"/>
      <c r="BQ114" s="137"/>
      <c r="BR114" s="137">
        <v>1</v>
      </c>
      <c r="BS114" s="137"/>
      <c r="BT114" s="140"/>
    </row>
    <row r="115" spans="1:72" s="25" customFormat="1" ht="31.5" x14ac:dyDescent="0.25">
      <c r="A115" s="23">
        <v>394</v>
      </c>
      <c r="B115" s="21" t="s">
        <v>2</v>
      </c>
      <c r="C115" s="21" t="s">
        <v>114</v>
      </c>
      <c r="D115" s="148" t="s">
        <v>354</v>
      </c>
      <c r="E115" s="149">
        <v>500000</v>
      </c>
      <c r="F115" s="148" t="s">
        <v>355</v>
      </c>
      <c r="G115" s="149">
        <v>4500000</v>
      </c>
      <c r="H115" s="148" t="s">
        <v>4</v>
      </c>
      <c r="I115" s="148" t="s">
        <v>356</v>
      </c>
      <c r="J115" s="148" t="s">
        <v>357</v>
      </c>
      <c r="K115" s="148" t="s">
        <v>357</v>
      </c>
      <c r="L115" s="148" t="s">
        <v>356</v>
      </c>
      <c r="M115" s="66">
        <f t="shared" si="52"/>
        <v>958138.98000000033</v>
      </c>
      <c r="N115" s="73"/>
      <c r="O115" s="24"/>
      <c r="P115" s="24">
        <f>300.8+1999.9+11076.21+758.8+561.8+2067.9+2445.2+11524.9+706.6+1172.71+981.85+7515.5+16006.1+19536.8+11062.05+3791.7+4617.7+4011.3+2944.5+19084.55+4002+10696.42+24447.9+41104.7+6380+4738.9+3252.2+2104.2+33713.7+33910.8+33898.4+33648+45867.4+49367.4+10442.8+12331.7+1165.8+1404+1238.7+9105.21+11.18+17373+4172.5+3812.1+5202.6+11040.56+3430.93+5059.31+16389.48+21698.33+24873.26+21354.23+23309.67+6239.36+4134.26+13127.51+3830.62+3404.17+3566.67+6247.84+3365.52+5556.62+2913.22+5081.5+496.75+5428.26+5520.28+5209.26+3705.18+6636.77+4086.63+6687.05+3620.12+702.54+1457.79+3996.23+680.34+34614.13+31974.82+11685.06+4585.95+18896.01+2430.47+5519.17+865.32+3836.52+13592.94+12396.03+3973.26+4915.6+3625.83+2756.98+2842.72+3375.43+1499.04+3377.87+3788.57+3756.9+5039.63+3271.55+3378.03+2447.03+12932.39+2529.66+300.73+5522.6</f>
        <v>958138.98000000033</v>
      </c>
      <c r="Q115" s="24"/>
      <c r="R115" s="24"/>
      <c r="S115" s="86"/>
      <c r="T115" s="103"/>
      <c r="U115" s="73"/>
      <c r="V115" s="24"/>
      <c r="W115" s="24"/>
      <c r="X115" s="24"/>
      <c r="Y115" s="24"/>
      <c r="Z115" s="24"/>
      <c r="AA115" s="24"/>
      <c r="AB115" s="24"/>
      <c r="AC115" s="24">
        <v>1</v>
      </c>
      <c r="AD115" s="24">
        <v>1</v>
      </c>
      <c r="AE115" s="24">
        <v>1</v>
      </c>
      <c r="AF115" s="24"/>
      <c r="AG115" s="24">
        <v>1</v>
      </c>
      <c r="AH115" s="24">
        <v>1</v>
      </c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74"/>
      <c r="BE115" s="73"/>
      <c r="BF115" s="24"/>
      <c r="BG115" s="24">
        <v>1</v>
      </c>
      <c r="BH115" s="24"/>
      <c r="BI115" s="86"/>
      <c r="BJ115" s="24"/>
      <c r="BK115" s="95"/>
      <c r="BL115" s="73">
        <v>1</v>
      </c>
      <c r="BM115" s="24"/>
      <c r="BN115" s="24"/>
      <c r="BO115" s="24"/>
      <c r="BP115" s="24"/>
      <c r="BQ115" s="24"/>
      <c r="BR115" s="24"/>
      <c r="BS115" s="24"/>
      <c r="BT115" s="74"/>
    </row>
    <row r="116" spans="1:72" s="25" customFormat="1" x14ac:dyDescent="0.25">
      <c r="A116" s="23">
        <v>395</v>
      </c>
      <c r="B116" s="21" t="s">
        <v>2</v>
      </c>
      <c r="C116" s="21" t="s">
        <v>115</v>
      </c>
      <c r="D116" s="148" t="s">
        <v>7</v>
      </c>
      <c r="E116" s="149">
        <v>100000</v>
      </c>
      <c r="F116" s="148"/>
      <c r="G116" s="148"/>
      <c r="H116" s="148" t="s">
        <v>4</v>
      </c>
      <c r="I116" s="148" t="s">
        <v>356</v>
      </c>
      <c r="J116" s="148" t="s">
        <v>357</v>
      </c>
      <c r="K116" s="148" t="s">
        <v>357</v>
      </c>
      <c r="L116" s="148" t="s">
        <v>357</v>
      </c>
      <c r="M116" s="66">
        <f t="shared" si="52"/>
        <v>1137125</v>
      </c>
      <c r="N116" s="73"/>
      <c r="O116" s="24"/>
      <c r="P116" s="24">
        <f>434979+653831+48315</f>
        <v>1137125</v>
      </c>
      <c r="Q116" s="24"/>
      <c r="R116" s="24"/>
      <c r="S116" s="86"/>
      <c r="T116" s="103">
        <v>8</v>
      </c>
      <c r="U116" s="73">
        <v>1</v>
      </c>
      <c r="V116" s="24"/>
      <c r="W116" s="24"/>
      <c r="X116" s="24"/>
      <c r="Y116" s="24"/>
      <c r="Z116" s="24">
        <v>1</v>
      </c>
      <c r="AA116" s="24"/>
      <c r="AB116" s="24"/>
      <c r="AC116" s="24"/>
      <c r="AD116" s="24">
        <v>1</v>
      </c>
      <c r="AE116" s="24">
        <v>1</v>
      </c>
      <c r="AF116" s="24">
        <v>1</v>
      </c>
      <c r="AG116" s="24">
        <v>1</v>
      </c>
      <c r="AH116" s="24">
        <v>1</v>
      </c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74"/>
      <c r="BE116" s="73"/>
      <c r="BF116" s="24"/>
      <c r="BG116" s="24"/>
      <c r="BH116" s="24"/>
      <c r="BI116" s="86"/>
      <c r="BJ116" s="24">
        <v>1</v>
      </c>
      <c r="BK116" s="95"/>
      <c r="BL116" s="73"/>
      <c r="BM116" s="24"/>
      <c r="BN116" s="24"/>
      <c r="BO116" s="24"/>
      <c r="BP116" s="24"/>
      <c r="BQ116" s="24"/>
      <c r="BR116" s="24">
        <v>1</v>
      </c>
      <c r="BS116" s="24"/>
      <c r="BT116" s="74"/>
    </row>
    <row r="117" spans="1:72" s="25" customFormat="1" x14ac:dyDescent="0.25">
      <c r="A117" s="23">
        <v>397</v>
      </c>
      <c r="B117" s="21" t="s">
        <v>2</v>
      </c>
      <c r="C117" s="21" t="s">
        <v>236</v>
      </c>
      <c r="D117" s="148" t="s">
        <v>354</v>
      </c>
      <c r="E117" s="149">
        <v>500000</v>
      </c>
      <c r="F117" s="148"/>
      <c r="G117" s="148"/>
      <c r="H117" s="148" t="s">
        <v>4</v>
      </c>
      <c r="I117" s="148" t="s">
        <v>356</v>
      </c>
      <c r="J117" s="148" t="s">
        <v>357</v>
      </c>
      <c r="K117" s="148" t="s">
        <v>357</v>
      </c>
      <c r="L117" s="148" t="s">
        <v>357</v>
      </c>
      <c r="M117" s="66">
        <f t="shared" si="52"/>
        <v>47236.01</v>
      </c>
      <c r="N117" s="73">
        <v>47236.01</v>
      </c>
      <c r="O117" s="24"/>
      <c r="P117" s="24"/>
      <c r="Q117" s="24"/>
      <c r="R117" s="24"/>
      <c r="S117" s="86"/>
      <c r="T117" s="103">
        <v>8</v>
      </c>
      <c r="U117" s="73">
        <v>1</v>
      </c>
      <c r="V117" s="24">
        <v>1</v>
      </c>
      <c r="W117" s="24">
        <v>1</v>
      </c>
      <c r="X117" s="24">
        <v>1</v>
      </c>
      <c r="Y117" s="24"/>
      <c r="Z117" s="24">
        <v>1</v>
      </c>
      <c r="AA117" s="24">
        <v>1</v>
      </c>
      <c r="AB117" s="24">
        <v>1</v>
      </c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74"/>
      <c r="BE117" s="73"/>
      <c r="BF117" s="24"/>
      <c r="BG117" s="24">
        <v>1</v>
      </c>
      <c r="BH117" s="24"/>
      <c r="BI117" s="86"/>
      <c r="BJ117" s="24">
        <v>1</v>
      </c>
      <c r="BK117" s="95"/>
      <c r="BL117" s="73"/>
      <c r="BM117" s="24"/>
      <c r="BN117" s="24"/>
      <c r="BO117" s="24"/>
      <c r="BP117" s="24"/>
      <c r="BQ117" s="24"/>
      <c r="BR117" s="24">
        <v>1</v>
      </c>
      <c r="BS117" s="24">
        <v>1</v>
      </c>
      <c r="BT117" s="74"/>
    </row>
    <row r="118" spans="1:72" s="25" customFormat="1" ht="31.5" x14ac:dyDescent="0.25">
      <c r="A118" s="23">
        <v>398</v>
      </c>
      <c r="B118" s="21" t="s">
        <v>57</v>
      </c>
      <c r="C118" s="21" t="s">
        <v>116</v>
      </c>
      <c r="D118" s="148" t="s">
        <v>7</v>
      </c>
      <c r="E118" s="149">
        <v>100000</v>
      </c>
      <c r="F118" s="148"/>
      <c r="G118" s="148"/>
      <c r="H118" s="148" t="s">
        <v>4</v>
      </c>
      <c r="I118" s="148" t="s">
        <v>356</v>
      </c>
      <c r="J118" s="148" t="s">
        <v>357</v>
      </c>
      <c r="K118" s="148" t="s">
        <v>357</v>
      </c>
      <c r="L118" s="148" t="s">
        <v>357</v>
      </c>
      <c r="M118" s="66">
        <f t="shared" si="52"/>
        <v>0</v>
      </c>
      <c r="N118" s="73"/>
      <c r="O118" s="24"/>
      <c r="P118" s="24"/>
      <c r="Q118" s="24"/>
      <c r="R118" s="24"/>
      <c r="S118" s="86"/>
      <c r="T118" s="103"/>
      <c r="U118" s="73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74"/>
      <c r="BE118" s="73"/>
      <c r="BF118" s="24"/>
      <c r="BG118" s="24"/>
      <c r="BH118" s="24"/>
      <c r="BI118" s="86"/>
      <c r="BJ118" s="24"/>
      <c r="BK118" s="95">
        <v>1</v>
      </c>
      <c r="BL118" s="73"/>
      <c r="BM118" s="24"/>
      <c r="BN118" s="24"/>
      <c r="BO118" s="24"/>
      <c r="BP118" s="24"/>
      <c r="BQ118" s="24"/>
      <c r="BR118" s="24"/>
      <c r="BS118" s="24"/>
      <c r="BT118" s="74">
        <v>1</v>
      </c>
    </row>
    <row r="119" spans="1:72" s="25" customFormat="1" x14ac:dyDescent="0.25">
      <c r="A119" s="23">
        <v>402</v>
      </c>
      <c r="B119" s="21" t="s">
        <v>2</v>
      </c>
      <c r="C119" s="21" t="s">
        <v>118</v>
      </c>
      <c r="D119" s="148" t="s">
        <v>7</v>
      </c>
      <c r="E119" s="149">
        <v>100000</v>
      </c>
      <c r="F119" s="148"/>
      <c r="G119" s="148"/>
      <c r="H119" s="148" t="s">
        <v>4</v>
      </c>
      <c r="I119" s="148" t="s">
        <v>356</v>
      </c>
      <c r="J119" s="148" t="s">
        <v>357</v>
      </c>
      <c r="K119" s="148" t="s">
        <v>357</v>
      </c>
      <c r="L119" s="148" t="s">
        <v>357</v>
      </c>
      <c r="M119" s="66">
        <f t="shared" si="52"/>
        <v>97174</v>
      </c>
      <c r="N119" s="73">
        <v>97174</v>
      </c>
      <c r="O119" s="24"/>
      <c r="P119" s="24"/>
      <c r="Q119" s="24"/>
      <c r="R119" s="24"/>
      <c r="S119" s="86"/>
      <c r="T119" s="103">
        <v>8</v>
      </c>
      <c r="U119" s="73"/>
      <c r="V119" s="24">
        <v>1</v>
      </c>
      <c r="W119" s="24"/>
      <c r="X119" s="24"/>
      <c r="Y119" s="24"/>
      <c r="Z119" s="24">
        <v>1</v>
      </c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74"/>
      <c r="BE119" s="73">
        <v>1</v>
      </c>
      <c r="BF119" s="24"/>
      <c r="BG119" s="24"/>
      <c r="BH119" s="24"/>
      <c r="BI119" s="86"/>
      <c r="BJ119" s="24"/>
      <c r="BK119" s="95"/>
      <c r="BL119" s="73"/>
      <c r="BM119" s="24"/>
      <c r="BN119" s="24"/>
      <c r="BO119" s="24"/>
      <c r="BP119" s="24"/>
      <c r="BQ119" s="24"/>
      <c r="BR119" s="24"/>
      <c r="BS119" s="24">
        <v>1</v>
      </c>
      <c r="BT119" s="74"/>
    </row>
    <row r="120" spans="1:72" s="25" customFormat="1" x14ac:dyDescent="0.25">
      <c r="A120" s="23">
        <v>405</v>
      </c>
      <c r="B120" s="21" t="s">
        <v>2</v>
      </c>
      <c r="C120" s="21" t="s">
        <v>119</v>
      </c>
      <c r="D120" s="148" t="s">
        <v>7</v>
      </c>
      <c r="E120" s="149">
        <v>100000</v>
      </c>
      <c r="F120" s="148"/>
      <c r="G120" s="148"/>
      <c r="H120" s="148" t="s">
        <v>4</v>
      </c>
      <c r="I120" s="148" t="s">
        <v>356</v>
      </c>
      <c r="J120" s="148" t="s">
        <v>357</v>
      </c>
      <c r="K120" s="148" t="s">
        <v>357</v>
      </c>
      <c r="L120" s="148" t="s">
        <v>357</v>
      </c>
      <c r="M120" s="66">
        <f t="shared" si="52"/>
        <v>0</v>
      </c>
      <c r="N120" s="73"/>
      <c r="O120" s="24"/>
      <c r="P120" s="24"/>
      <c r="Q120" s="24"/>
      <c r="R120" s="24"/>
      <c r="S120" s="86"/>
      <c r="T120" s="103"/>
      <c r="U120" s="73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74"/>
      <c r="BE120" s="73"/>
      <c r="BF120" s="24">
        <v>1</v>
      </c>
      <c r="BG120" s="24"/>
      <c r="BH120" s="24"/>
      <c r="BI120" s="86"/>
      <c r="BJ120" s="24"/>
      <c r="BK120" s="95"/>
      <c r="BL120" s="73"/>
      <c r="BM120" s="24"/>
      <c r="BN120" s="24"/>
      <c r="BO120" s="24"/>
      <c r="BP120" s="24"/>
      <c r="BQ120" s="24"/>
      <c r="BR120" s="24">
        <v>1</v>
      </c>
      <c r="BS120" s="24"/>
      <c r="BT120" s="74"/>
    </row>
    <row r="121" spans="1:72" s="25" customFormat="1" ht="31.5" x14ac:dyDescent="0.25">
      <c r="A121" s="23">
        <v>409</v>
      </c>
      <c r="B121" s="21" t="s">
        <v>2</v>
      </c>
      <c r="C121" s="21" t="s">
        <v>120</v>
      </c>
      <c r="D121" s="148" t="s">
        <v>7</v>
      </c>
      <c r="E121" s="149">
        <v>100000</v>
      </c>
      <c r="F121" s="148"/>
      <c r="G121" s="148"/>
      <c r="H121" s="148" t="s">
        <v>4</v>
      </c>
      <c r="I121" s="148" t="s">
        <v>356</v>
      </c>
      <c r="J121" s="148" t="s">
        <v>356</v>
      </c>
      <c r="K121" s="148" t="s">
        <v>357</v>
      </c>
      <c r="L121" s="148" t="s">
        <v>357</v>
      </c>
      <c r="M121" s="66">
        <f t="shared" si="52"/>
        <v>172096</v>
      </c>
      <c r="N121" s="73">
        <f>9378+32204+110160+17450</f>
        <v>169192</v>
      </c>
      <c r="O121" s="24">
        <f>1416+1488</f>
        <v>2904</v>
      </c>
      <c r="P121" s="24"/>
      <c r="Q121" s="24"/>
      <c r="R121" s="24"/>
      <c r="S121" s="86"/>
      <c r="T121" s="103">
        <v>2.5</v>
      </c>
      <c r="U121" s="73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>
        <v>1</v>
      </c>
      <c r="AH121" s="24"/>
      <c r="AI121" s="24"/>
      <c r="AJ121" s="24"/>
      <c r="AK121" s="24"/>
      <c r="AL121" s="24">
        <v>1</v>
      </c>
      <c r="AM121" s="24">
        <v>1</v>
      </c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74"/>
      <c r="BE121" s="73"/>
      <c r="BF121" s="24"/>
      <c r="BG121" s="24"/>
      <c r="BH121" s="24">
        <v>1</v>
      </c>
      <c r="BI121" s="86"/>
      <c r="BJ121" s="24"/>
      <c r="BK121" s="95"/>
      <c r="BL121" s="73"/>
      <c r="BM121" s="24"/>
      <c r="BN121" s="24"/>
      <c r="BO121" s="24"/>
      <c r="BP121" s="24"/>
      <c r="BQ121" s="24"/>
      <c r="BR121" s="24">
        <v>1</v>
      </c>
      <c r="BS121" s="24"/>
      <c r="BT121" s="74"/>
    </row>
    <row r="122" spans="1:72" s="25" customFormat="1" ht="31.5" x14ac:dyDescent="0.25">
      <c r="A122" s="23">
        <v>410</v>
      </c>
      <c r="B122" s="21" t="s">
        <v>104</v>
      </c>
      <c r="C122" s="21" t="s">
        <v>121</v>
      </c>
      <c r="D122" s="148" t="s">
        <v>7</v>
      </c>
      <c r="E122" s="149">
        <v>100000</v>
      </c>
      <c r="F122" s="148" t="s">
        <v>7</v>
      </c>
      <c r="G122" s="149">
        <v>200000</v>
      </c>
      <c r="H122" s="148" t="s">
        <v>4</v>
      </c>
      <c r="I122" s="148" t="s">
        <v>356</v>
      </c>
      <c r="J122" s="148" t="s">
        <v>357</v>
      </c>
      <c r="K122" s="148" t="s">
        <v>357</v>
      </c>
      <c r="L122" s="148" t="s">
        <v>356</v>
      </c>
      <c r="M122" s="66">
        <f t="shared" si="52"/>
        <v>115611.49739</v>
      </c>
      <c r="N122" s="73"/>
      <c r="O122" s="24"/>
      <c r="P122" s="24">
        <f>56767.73118+41815.716+17028.05021</f>
        <v>115611.49739</v>
      </c>
      <c r="Q122" s="24"/>
      <c r="R122" s="24"/>
      <c r="S122" s="86"/>
      <c r="T122" s="103">
        <v>8</v>
      </c>
      <c r="U122" s="73">
        <v>1</v>
      </c>
      <c r="V122" s="24"/>
      <c r="W122" s="24"/>
      <c r="X122" s="24"/>
      <c r="Y122" s="24"/>
      <c r="Z122" s="24"/>
      <c r="AA122" s="24"/>
      <c r="AB122" s="24"/>
      <c r="AC122" s="24"/>
      <c r="AD122" s="24"/>
      <c r="AE122" s="24">
        <v>1</v>
      </c>
      <c r="AF122" s="24">
        <v>1</v>
      </c>
      <c r="AG122" s="24">
        <v>1</v>
      </c>
      <c r="AH122" s="24">
        <v>1</v>
      </c>
      <c r="AI122" s="24">
        <v>1</v>
      </c>
      <c r="AJ122" s="24"/>
      <c r="AK122" s="24"/>
      <c r="AL122" s="24">
        <v>1</v>
      </c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74"/>
      <c r="BE122" s="73">
        <v>1</v>
      </c>
      <c r="BF122" s="24"/>
      <c r="BG122" s="24"/>
      <c r="BH122" s="24"/>
      <c r="BI122" s="86"/>
      <c r="BJ122" s="24">
        <v>1</v>
      </c>
      <c r="BK122" s="95"/>
      <c r="BL122" s="73"/>
      <c r="BM122" s="24">
        <v>1</v>
      </c>
      <c r="BN122" s="24"/>
      <c r="BO122" s="24"/>
      <c r="BP122" s="24"/>
      <c r="BQ122" s="24"/>
      <c r="BR122" s="24"/>
      <c r="BS122" s="24">
        <v>1</v>
      </c>
      <c r="BT122" s="74"/>
    </row>
    <row r="123" spans="1:72" s="25" customFormat="1" x14ac:dyDescent="0.25">
      <c r="A123" s="23">
        <v>411</v>
      </c>
      <c r="B123" s="21" t="s">
        <v>2</v>
      </c>
      <c r="C123" s="21" t="s">
        <v>122</v>
      </c>
      <c r="D123" s="148" t="s">
        <v>7</v>
      </c>
      <c r="E123" s="149">
        <v>100000</v>
      </c>
      <c r="F123" s="148" t="s">
        <v>7</v>
      </c>
      <c r="G123" s="149">
        <v>200000</v>
      </c>
      <c r="H123" s="148" t="s">
        <v>4</v>
      </c>
      <c r="I123" s="148" t="s">
        <v>356</v>
      </c>
      <c r="J123" s="148" t="s">
        <v>357</v>
      </c>
      <c r="K123" s="148" t="s">
        <v>357</v>
      </c>
      <c r="L123" s="148" t="s">
        <v>356</v>
      </c>
      <c r="M123" s="66">
        <f t="shared" si="52"/>
        <v>11270.029999999999</v>
      </c>
      <c r="N123" s="73">
        <v>5736.55</v>
      </c>
      <c r="O123" s="24"/>
      <c r="P123" s="24">
        <f>4494+1039.48</f>
        <v>5533.48</v>
      </c>
      <c r="Q123" s="24"/>
      <c r="R123" s="24"/>
      <c r="S123" s="86"/>
      <c r="T123" s="103">
        <v>8</v>
      </c>
      <c r="U123" s="73"/>
      <c r="V123" s="24"/>
      <c r="W123" s="24"/>
      <c r="X123" s="24"/>
      <c r="Y123" s="24"/>
      <c r="Z123" s="24"/>
      <c r="AA123" s="24">
        <v>1</v>
      </c>
      <c r="AB123" s="24">
        <v>1</v>
      </c>
      <c r="AC123" s="24">
        <v>1</v>
      </c>
      <c r="AD123" s="24"/>
      <c r="AE123" s="24">
        <v>1</v>
      </c>
      <c r="AF123" s="24">
        <v>1</v>
      </c>
      <c r="AG123" s="24">
        <v>1</v>
      </c>
      <c r="AH123" s="24">
        <v>1</v>
      </c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74"/>
      <c r="BE123" s="73"/>
      <c r="BF123" s="24"/>
      <c r="BG123" s="24">
        <v>1</v>
      </c>
      <c r="BH123" s="24"/>
      <c r="BI123" s="86"/>
      <c r="BJ123" s="24"/>
      <c r="BK123" s="95"/>
      <c r="BL123" s="73">
        <v>1</v>
      </c>
      <c r="BM123" s="24">
        <v>1</v>
      </c>
      <c r="BN123" s="24"/>
      <c r="BO123" s="24"/>
      <c r="BP123" s="24"/>
      <c r="BQ123" s="24"/>
      <c r="BR123" s="24">
        <v>1</v>
      </c>
      <c r="BS123" s="24"/>
      <c r="BT123" s="74"/>
    </row>
    <row r="124" spans="1:72" s="25" customFormat="1" x14ac:dyDescent="0.25">
      <c r="A124" s="23">
        <v>412</v>
      </c>
      <c r="B124" s="21" t="s">
        <v>2</v>
      </c>
      <c r="C124" s="21" t="s">
        <v>123</v>
      </c>
      <c r="D124" s="148" t="s">
        <v>7</v>
      </c>
      <c r="E124" s="149">
        <v>100000</v>
      </c>
      <c r="F124" s="148" t="s">
        <v>7</v>
      </c>
      <c r="G124" s="149">
        <v>200000</v>
      </c>
      <c r="H124" s="148" t="s">
        <v>4</v>
      </c>
      <c r="I124" s="148" t="s">
        <v>356</v>
      </c>
      <c r="J124" s="148" t="s">
        <v>357</v>
      </c>
      <c r="K124" s="148" t="s">
        <v>357</v>
      </c>
      <c r="L124" s="148" t="s">
        <v>356</v>
      </c>
      <c r="M124" s="66">
        <f t="shared" si="52"/>
        <v>5406</v>
      </c>
      <c r="N124" s="73"/>
      <c r="O124" s="24"/>
      <c r="P124" s="24">
        <f>5406</f>
        <v>5406</v>
      </c>
      <c r="Q124" s="24"/>
      <c r="R124" s="24"/>
      <c r="S124" s="86"/>
      <c r="T124" s="103">
        <v>8</v>
      </c>
      <c r="U124" s="73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>
        <v>1</v>
      </c>
      <c r="AG124" s="24"/>
      <c r="AH124" s="24"/>
      <c r="AI124" s="24"/>
      <c r="AJ124" s="24"/>
      <c r="AK124" s="24">
        <v>1</v>
      </c>
      <c r="AL124" s="24">
        <v>1</v>
      </c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74"/>
      <c r="BE124" s="73"/>
      <c r="BF124" s="24"/>
      <c r="BG124" s="24"/>
      <c r="BH124" s="24"/>
      <c r="BI124" s="86"/>
      <c r="BJ124" s="24"/>
      <c r="BK124" s="95"/>
      <c r="BL124" s="73"/>
      <c r="BM124" s="24"/>
      <c r="BN124" s="24"/>
      <c r="BO124" s="24"/>
      <c r="BP124" s="24"/>
      <c r="BQ124" s="24"/>
      <c r="BR124" s="24"/>
      <c r="BS124" s="24"/>
      <c r="BT124" s="74"/>
    </row>
    <row r="125" spans="1:72" s="25" customFormat="1" ht="63" x14ac:dyDescent="0.25">
      <c r="A125" s="23">
        <v>413</v>
      </c>
      <c r="B125" s="21" t="s">
        <v>124</v>
      </c>
      <c r="C125" s="21" t="s">
        <v>237</v>
      </c>
      <c r="D125" s="148" t="s">
        <v>7</v>
      </c>
      <c r="E125" s="149">
        <v>100000</v>
      </c>
      <c r="F125" s="148" t="s">
        <v>7</v>
      </c>
      <c r="G125" s="149">
        <v>200000</v>
      </c>
      <c r="H125" s="148" t="s">
        <v>4</v>
      </c>
      <c r="I125" s="148" t="s">
        <v>356</v>
      </c>
      <c r="J125" s="148" t="s">
        <v>357</v>
      </c>
      <c r="K125" s="148" t="s">
        <v>357</v>
      </c>
      <c r="L125" s="148" t="s">
        <v>356</v>
      </c>
      <c r="M125" s="66">
        <f t="shared" si="52"/>
        <v>35638.910000000003</v>
      </c>
      <c r="N125" s="73"/>
      <c r="O125" s="24"/>
      <c r="P125" s="24"/>
      <c r="Q125" s="24"/>
      <c r="R125" s="24">
        <f>21650.59+13988.32</f>
        <v>35638.910000000003</v>
      </c>
      <c r="S125" s="86"/>
      <c r="T125" s="103">
        <v>8</v>
      </c>
      <c r="U125" s="73"/>
      <c r="V125" s="24"/>
      <c r="W125" s="24"/>
      <c r="X125" s="24"/>
      <c r="Y125" s="24"/>
      <c r="Z125" s="24"/>
      <c r="AA125" s="24"/>
      <c r="AB125" s="24"/>
      <c r="AC125" s="24">
        <v>1</v>
      </c>
      <c r="AD125" s="24">
        <v>1</v>
      </c>
      <c r="AE125" s="24">
        <v>1</v>
      </c>
      <c r="AF125" s="24">
        <v>1</v>
      </c>
      <c r="AG125" s="24">
        <v>1</v>
      </c>
      <c r="AH125" s="24">
        <v>1</v>
      </c>
      <c r="AI125" s="24">
        <v>1</v>
      </c>
      <c r="AJ125" s="24"/>
      <c r="AK125" s="24"/>
      <c r="AL125" s="24"/>
      <c r="AM125" s="24"/>
      <c r="AN125" s="24"/>
      <c r="AO125" s="24"/>
      <c r="AP125" s="24">
        <v>1</v>
      </c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74"/>
      <c r="BE125" s="73"/>
      <c r="BF125" s="24">
        <v>1</v>
      </c>
      <c r="BG125" s="24"/>
      <c r="BH125" s="24"/>
      <c r="BI125" s="86"/>
      <c r="BJ125" s="24"/>
      <c r="BK125" s="95"/>
      <c r="BL125" s="73"/>
      <c r="BM125" s="24">
        <v>1</v>
      </c>
      <c r="BN125" s="24"/>
      <c r="BO125" s="24"/>
      <c r="BP125" s="24"/>
      <c r="BQ125" s="24"/>
      <c r="BR125" s="24"/>
      <c r="BS125" s="24"/>
      <c r="BT125" s="74"/>
    </row>
    <row r="126" spans="1:72" s="25" customFormat="1" ht="31.5" x14ac:dyDescent="0.25">
      <c r="A126" s="23">
        <v>414</v>
      </c>
      <c r="B126" s="21" t="s">
        <v>2</v>
      </c>
      <c r="C126" s="21" t="s">
        <v>238</v>
      </c>
      <c r="D126" s="148" t="s">
        <v>7</v>
      </c>
      <c r="E126" s="149">
        <v>100000</v>
      </c>
      <c r="F126" s="148" t="s">
        <v>7</v>
      </c>
      <c r="G126" s="149">
        <v>200000</v>
      </c>
      <c r="H126" s="148" t="s">
        <v>4</v>
      </c>
      <c r="I126" s="148" t="s">
        <v>356</v>
      </c>
      <c r="J126" s="148" t="s">
        <v>356</v>
      </c>
      <c r="K126" s="148" t="s">
        <v>357</v>
      </c>
      <c r="L126" s="148" t="s">
        <v>356</v>
      </c>
      <c r="M126" s="66">
        <f t="shared" si="52"/>
        <v>121233.95911</v>
      </c>
      <c r="N126" s="73">
        <f>15862.03387+4400.53882+19013.337+24064.41615+3683.09731+1162.8228+16583.574+8403.90659+16999.998+2702.08656+5892.89801+2465.25</f>
        <v>121233.95911</v>
      </c>
      <c r="O126" s="24"/>
      <c r="P126" s="24"/>
      <c r="Q126" s="24"/>
      <c r="R126" s="24"/>
      <c r="S126" s="86"/>
      <c r="T126" s="103">
        <v>8</v>
      </c>
      <c r="U126" s="73"/>
      <c r="V126" s="24"/>
      <c r="W126" s="24"/>
      <c r="X126" s="24"/>
      <c r="Y126" s="24"/>
      <c r="Z126" s="24"/>
      <c r="AA126" s="24"/>
      <c r="AB126" s="24"/>
      <c r="AC126" s="24">
        <v>1</v>
      </c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74"/>
      <c r="BE126" s="73"/>
      <c r="BF126" s="24"/>
      <c r="BG126" s="24"/>
      <c r="BH126" s="24">
        <v>1</v>
      </c>
      <c r="BI126" s="86"/>
      <c r="BJ126" s="24"/>
      <c r="BK126" s="95"/>
      <c r="BL126" s="73"/>
      <c r="BM126" s="24"/>
      <c r="BN126" s="24"/>
      <c r="BO126" s="24"/>
      <c r="BP126" s="24"/>
      <c r="BQ126" s="24"/>
      <c r="BR126" s="24">
        <v>1</v>
      </c>
      <c r="BS126" s="24"/>
      <c r="BT126" s="74"/>
    </row>
    <row r="127" spans="1:72" s="25" customFormat="1" ht="31.5" x14ac:dyDescent="0.25">
      <c r="A127" s="23">
        <v>415</v>
      </c>
      <c r="B127" s="21" t="s">
        <v>2</v>
      </c>
      <c r="C127" s="21" t="s">
        <v>125</v>
      </c>
      <c r="D127" s="148" t="s">
        <v>7</v>
      </c>
      <c r="E127" s="149">
        <v>100000</v>
      </c>
      <c r="F127" s="148" t="s">
        <v>7</v>
      </c>
      <c r="G127" s="149">
        <v>200000</v>
      </c>
      <c r="H127" s="148" t="s">
        <v>4</v>
      </c>
      <c r="I127" s="148" t="s">
        <v>356</v>
      </c>
      <c r="J127" s="148" t="s">
        <v>357</v>
      </c>
      <c r="K127" s="148" t="s">
        <v>357</v>
      </c>
      <c r="L127" s="148" t="s">
        <v>356</v>
      </c>
      <c r="M127" s="66">
        <f t="shared" si="52"/>
        <v>0</v>
      </c>
      <c r="N127" s="73"/>
      <c r="O127" s="24"/>
      <c r="P127" s="24"/>
      <c r="Q127" s="24"/>
      <c r="R127" s="24"/>
      <c r="S127" s="86"/>
      <c r="T127" s="103"/>
      <c r="U127" s="73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74"/>
      <c r="BE127" s="73"/>
      <c r="BF127" s="24"/>
      <c r="BG127" s="24">
        <v>1</v>
      </c>
      <c r="BH127" s="24">
        <v>1</v>
      </c>
      <c r="BI127" s="86"/>
      <c r="BJ127" s="24"/>
      <c r="BK127" s="95"/>
      <c r="BL127" s="73"/>
      <c r="BM127" s="24"/>
      <c r="BN127" s="24"/>
      <c r="BO127" s="24"/>
      <c r="BP127" s="24"/>
      <c r="BQ127" s="24"/>
      <c r="BR127" s="24"/>
      <c r="BS127" s="24"/>
      <c r="BT127" s="74">
        <v>1</v>
      </c>
    </row>
    <row r="128" spans="1:72" s="25" customFormat="1" x14ac:dyDescent="0.25">
      <c r="A128" s="23">
        <v>416</v>
      </c>
      <c r="B128" s="21" t="s">
        <v>2</v>
      </c>
      <c r="C128" s="21" t="s">
        <v>126</v>
      </c>
      <c r="D128" s="148" t="s">
        <v>7</v>
      </c>
      <c r="E128" s="149">
        <v>100000</v>
      </c>
      <c r="F128" s="148" t="s">
        <v>7</v>
      </c>
      <c r="G128" s="149">
        <v>200000</v>
      </c>
      <c r="H128" s="148" t="s">
        <v>4</v>
      </c>
      <c r="I128" s="148" t="s">
        <v>356</v>
      </c>
      <c r="J128" s="148" t="s">
        <v>357</v>
      </c>
      <c r="K128" s="148" t="s">
        <v>357</v>
      </c>
      <c r="L128" s="148" t="s">
        <v>356</v>
      </c>
      <c r="M128" s="66">
        <f t="shared" si="52"/>
        <v>0</v>
      </c>
      <c r="N128" s="73"/>
      <c r="O128" s="24"/>
      <c r="P128" s="24"/>
      <c r="Q128" s="24"/>
      <c r="R128" s="24"/>
      <c r="S128" s="86"/>
      <c r="T128" s="103"/>
      <c r="U128" s="73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74"/>
      <c r="BE128" s="73"/>
      <c r="BF128" s="24"/>
      <c r="BG128" s="24"/>
      <c r="BH128" s="24">
        <v>1</v>
      </c>
      <c r="BI128" s="86"/>
      <c r="BJ128" s="24">
        <v>1</v>
      </c>
      <c r="BK128" s="95"/>
      <c r="BL128" s="73">
        <v>1</v>
      </c>
      <c r="BM128" s="24"/>
      <c r="BN128" s="24"/>
      <c r="BO128" s="24"/>
      <c r="BP128" s="24"/>
      <c r="BQ128" s="24"/>
      <c r="BR128" s="24"/>
      <c r="BS128" s="24">
        <v>1</v>
      </c>
      <c r="BT128" s="74"/>
    </row>
    <row r="129" spans="1:72" s="25" customFormat="1" x14ac:dyDescent="0.25">
      <c r="A129" s="23">
        <v>417</v>
      </c>
      <c r="B129" s="21" t="s">
        <v>57</v>
      </c>
      <c r="C129" s="21" t="s">
        <v>127</v>
      </c>
      <c r="D129" s="148" t="s">
        <v>355</v>
      </c>
      <c r="E129" s="149">
        <v>1500000</v>
      </c>
      <c r="F129" s="148" t="s">
        <v>355</v>
      </c>
      <c r="G129" s="149">
        <v>4500000</v>
      </c>
      <c r="H129" s="148" t="s">
        <v>4</v>
      </c>
      <c r="I129" s="148" t="s">
        <v>356</v>
      </c>
      <c r="J129" s="148" t="s">
        <v>357</v>
      </c>
      <c r="K129" s="148" t="s">
        <v>357</v>
      </c>
      <c r="L129" s="148" t="s">
        <v>356</v>
      </c>
      <c r="M129" s="66">
        <f t="shared" si="52"/>
        <v>4283.3989999999994</v>
      </c>
      <c r="N129" s="73"/>
      <c r="O129" s="24"/>
      <c r="P129" s="24">
        <f>1810.799+2472.6</f>
        <v>4283.3989999999994</v>
      </c>
      <c r="Q129" s="24"/>
      <c r="R129" s="24"/>
      <c r="S129" s="86"/>
      <c r="T129" s="103">
        <v>8</v>
      </c>
      <c r="U129" s="73"/>
      <c r="V129" s="24"/>
      <c r="W129" s="24"/>
      <c r="X129" s="24"/>
      <c r="Y129" s="24"/>
      <c r="Z129" s="24"/>
      <c r="AA129" s="24"/>
      <c r="AB129" s="24"/>
      <c r="AC129" s="24"/>
      <c r="AD129" s="24"/>
      <c r="AE129" s="24">
        <v>1</v>
      </c>
      <c r="AF129" s="24">
        <v>1</v>
      </c>
      <c r="AG129" s="24">
        <v>1</v>
      </c>
      <c r="AH129" s="24">
        <v>1</v>
      </c>
      <c r="AI129" s="24">
        <v>1</v>
      </c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74"/>
      <c r="BE129" s="73">
        <v>1</v>
      </c>
      <c r="BF129" s="24"/>
      <c r="BG129" s="24">
        <v>1</v>
      </c>
      <c r="BH129" s="24"/>
      <c r="BI129" s="86"/>
      <c r="BJ129" s="24"/>
      <c r="BK129" s="95"/>
      <c r="BL129" s="73"/>
      <c r="BM129" s="24"/>
      <c r="BN129" s="24"/>
      <c r="BO129" s="24"/>
      <c r="BP129" s="24"/>
      <c r="BQ129" s="24"/>
      <c r="BR129" s="24">
        <v>1</v>
      </c>
      <c r="BS129" s="24"/>
      <c r="BT129" s="74"/>
    </row>
    <row r="130" spans="1:72" s="25" customFormat="1" x14ac:dyDescent="0.25">
      <c r="A130" s="23">
        <v>418</v>
      </c>
      <c r="B130" s="21" t="s">
        <v>2</v>
      </c>
      <c r="C130" s="21" t="s">
        <v>128</v>
      </c>
      <c r="D130" s="148" t="s">
        <v>7</v>
      </c>
      <c r="E130" s="149">
        <v>100000</v>
      </c>
      <c r="F130" s="148" t="s">
        <v>7</v>
      </c>
      <c r="G130" s="149">
        <v>200000</v>
      </c>
      <c r="H130" s="148" t="s">
        <v>4</v>
      </c>
      <c r="I130" s="148" t="s">
        <v>356</v>
      </c>
      <c r="J130" s="148" t="s">
        <v>357</v>
      </c>
      <c r="K130" s="148" t="s">
        <v>357</v>
      </c>
      <c r="L130" s="148" t="s">
        <v>356</v>
      </c>
      <c r="M130" s="66">
        <f t="shared" si="52"/>
        <v>0</v>
      </c>
      <c r="N130" s="73"/>
      <c r="O130" s="24"/>
      <c r="P130" s="24"/>
      <c r="Q130" s="24"/>
      <c r="R130" s="24"/>
      <c r="S130" s="86"/>
      <c r="T130" s="103"/>
      <c r="U130" s="73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74"/>
      <c r="BE130" s="73"/>
      <c r="BF130" s="24"/>
      <c r="BG130" s="24">
        <v>1</v>
      </c>
      <c r="BH130" s="24"/>
      <c r="BI130" s="86"/>
      <c r="BJ130" s="24">
        <v>1</v>
      </c>
      <c r="BK130" s="95"/>
      <c r="BL130" s="73"/>
      <c r="BM130" s="24"/>
      <c r="BN130" s="24">
        <v>1</v>
      </c>
      <c r="BO130" s="24"/>
      <c r="BP130" s="24"/>
      <c r="BQ130" s="24"/>
      <c r="BR130" s="24"/>
      <c r="BS130" s="24"/>
      <c r="BT130" s="74"/>
    </row>
    <row r="131" spans="1:72" s="25" customFormat="1" x14ac:dyDescent="0.25">
      <c r="A131" s="23">
        <v>419</v>
      </c>
      <c r="B131" s="21" t="s">
        <v>2</v>
      </c>
      <c r="C131" s="21" t="s">
        <v>129</v>
      </c>
      <c r="D131" s="148" t="s">
        <v>354</v>
      </c>
      <c r="E131" s="149">
        <v>500000</v>
      </c>
      <c r="F131" s="148" t="s">
        <v>354</v>
      </c>
      <c r="G131" s="149">
        <v>2500000</v>
      </c>
      <c r="H131" s="148" t="s">
        <v>4</v>
      </c>
      <c r="I131" s="148" t="s">
        <v>356</v>
      </c>
      <c r="J131" s="148" t="s">
        <v>357</v>
      </c>
      <c r="K131" s="148" t="s">
        <v>357</v>
      </c>
      <c r="L131" s="148" t="s">
        <v>356</v>
      </c>
      <c r="M131" s="66">
        <f t="shared" si="52"/>
        <v>298791.85434000002</v>
      </c>
      <c r="N131" s="73">
        <f>221093.68067+60198.09367+17500.08</f>
        <v>298791.85434000002</v>
      </c>
      <c r="O131" s="24"/>
      <c r="P131" s="24"/>
      <c r="Q131" s="24"/>
      <c r="R131" s="24"/>
      <c r="S131" s="86"/>
      <c r="T131" s="103">
        <v>8</v>
      </c>
      <c r="U131" s="73"/>
      <c r="V131" s="24">
        <v>1</v>
      </c>
      <c r="W131" s="24">
        <v>1</v>
      </c>
      <c r="X131" s="24"/>
      <c r="Y131" s="24">
        <v>1</v>
      </c>
      <c r="Z131" s="24">
        <v>1</v>
      </c>
      <c r="AA131" s="24">
        <v>1</v>
      </c>
      <c r="AB131" s="24">
        <v>1</v>
      </c>
      <c r="AC131" s="24"/>
      <c r="AD131" s="24">
        <v>1</v>
      </c>
      <c r="AE131" s="24">
        <v>1</v>
      </c>
      <c r="AF131" s="24">
        <v>1</v>
      </c>
      <c r="AG131" s="24"/>
      <c r="AH131" s="24">
        <v>1</v>
      </c>
      <c r="AI131" s="24"/>
      <c r="AJ131" s="24">
        <v>1</v>
      </c>
      <c r="AK131" s="24"/>
      <c r="AL131" s="24"/>
      <c r="AM131" s="24"/>
      <c r="AN131" s="24"/>
      <c r="AO131" s="24"/>
      <c r="AP131" s="24"/>
      <c r="AQ131" s="24"/>
      <c r="AR131" s="24">
        <v>1</v>
      </c>
      <c r="AS131" s="24"/>
      <c r="AT131" s="24"/>
      <c r="AU131" s="24"/>
      <c r="AV131" s="24"/>
      <c r="AW131" s="24"/>
      <c r="AX131" s="24"/>
      <c r="AY131" s="24"/>
      <c r="AZ131" s="24"/>
      <c r="BA131" s="24"/>
      <c r="BB131" s="24">
        <v>1</v>
      </c>
      <c r="BC131" s="24"/>
      <c r="BD131" s="74"/>
      <c r="BE131" s="73"/>
      <c r="BF131" s="24"/>
      <c r="BG131" s="24">
        <v>1</v>
      </c>
      <c r="BH131" s="24">
        <v>1</v>
      </c>
      <c r="BI131" s="86"/>
      <c r="BJ131" s="24"/>
      <c r="BK131" s="95"/>
      <c r="BL131" s="73">
        <v>1</v>
      </c>
      <c r="BM131" s="24">
        <v>1</v>
      </c>
      <c r="BN131" s="24">
        <v>1</v>
      </c>
      <c r="BO131" s="24"/>
      <c r="BP131" s="24">
        <v>1</v>
      </c>
      <c r="BQ131" s="24"/>
      <c r="BR131" s="24"/>
      <c r="BS131" s="24">
        <v>1</v>
      </c>
      <c r="BT131" s="74"/>
    </row>
    <row r="132" spans="1:72" s="25" customFormat="1" x14ac:dyDescent="0.25">
      <c r="A132" s="23">
        <v>420</v>
      </c>
      <c r="B132" s="21" t="s">
        <v>2</v>
      </c>
      <c r="C132" s="21" t="s">
        <v>130</v>
      </c>
      <c r="D132" s="148" t="s">
        <v>7</v>
      </c>
      <c r="E132" s="149">
        <v>100000</v>
      </c>
      <c r="F132" s="148"/>
      <c r="G132" s="148"/>
      <c r="H132" s="148" t="s">
        <v>4</v>
      </c>
      <c r="I132" s="148" t="s">
        <v>356</v>
      </c>
      <c r="J132" s="148" t="s">
        <v>357</v>
      </c>
      <c r="K132" s="148" t="s">
        <v>357</v>
      </c>
      <c r="L132" s="148" t="s">
        <v>357</v>
      </c>
      <c r="M132" s="66">
        <f t="shared" si="52"/>
        <v>207797.02800000002</v>
      </c>
      <c r="N132" s="73">
        <f>79432.849+24148.455+18459.608+39420.617+24233.144+5170.676+10425.314</f>
        <v>201290.66300000003</v>
      </c>
      <c r="O132" s="24"/>
      <c r="P132" s="24">
        <v>6506.3649999999998</v>
      </c>
      <c r="Q132" s="24"/>
      <c r="R132" s="24"/>
      <c r="S132" s="86"/>
      <c r="T132" s="103">
        <v>8</v>
      </c>
      <c r="U132" s="73"/>
      <c r="V132" s="24"/>
      <c r="W132" s="24"/>
      <c r="X132" s="24"/>
      <c r="Y132" s="24"/>
      <c r="Z132" s="24"/>
      <c r="AA132" s="24"/>
      <c r="AB132" s="24">
        <v>8</v>
      </c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74"/>
      <c r="BE132" s="73"/>
      <c r="BF132" s="24"/>
      <c r="BG132" s="24"/>
      <c r="BH132" s="24"/>
      <c r="BI132" s="86"/>
      <c r="BJ132" s="24"/>
      <c r="BK132" s="95"/>
      <c r="BL132" s="73"/>
      <c r="BM132" s="24"/>
      <c r="BN132" s="24"/>
      <c r="BO132" s="24"/>
      <c r="BP132" s="24"/>
      <c r="BQ132" s="24"/>
      <c r="BR132" s="24"/>
      <c r="BS132" s="24"/>
      <c r="BT132" s="74"/>
    </row>
    <row r="133" spans="1:72" s="25" customFormat="1" x14ac:dyDescent="0.25">
      <c r="A133" s="23">
        <v>421</v>
      </c>
      <c r="B133" s="21" t="s">
        <v>352</v>
      </c>
      <c r="C133" s="21" t="s">
        <v>131</v>
      </c>
      <c r="D133" s="148" t="s">
        <v>7</v>
      </c>
      <c r="E133" s="149">
        <v>100000</v>
      </c>
      <c r="F133" s="148" t="s">
        <v>7</v>
      </c>
      <c r="G133" s="149">
        <v>200000</v>
      </c>
      <c r="H133" s="148" t="s">
        <v>4</v>
      </c>
      <c r="I133" s="148" t="s">
        <v>356</v>
      </c>
      <c r="J133" s="148" t="s">
        <v>357</v>
      </c>
      <c r="K133" s="148" t="s">
        <v>357</v>
      </c>
      <c r="L133" s="148" t="s">
        <v>356</v>
      </c>
      <c r="M133" s="66">
        <f t="shared" si="52"/>
        <v>0</v>
      </c>
      <c r="N133" s="73"/>
      <c r="O133" s="24"/>
      <c r="P133" s="24"/>
      <c r="Q133" s="24"/>
      <c r="R133" s="24"/>
      <c r="S133" s="86"/>
      <c r="T133" s="103"/>
      <c r="U133" s="73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74"/>
      <c r="BE133" s="73"/>
      <c r="BF133" s="24">
        <v>1</v>
      </c>
      <c r="BG133" s="24"/>
      <c r="BH133" s="24"/>
      <c r="BI133" s="86"/>
      <c r="BJ133" s="24"/>
      <c r="BK133" s="95"/>
      <c r="BL133" s="73">
        <v>1</v>
      </c>
      <c r="BM133" s="24"/>
      <c r="BN133" s="24"/>
      <c r="BO133" s="24"/>
      <c r="BP133" s="24"/>
      <c r="BQ133" s="24"/>
      <c r="BR133" s="24"/>
      <c r="BS133" s="24"/>
      <c r="BT133" s="74"/>
    </row>
    <row r="134" spans="1:72" s="25" customFormat="1" x14ac:dyDescent="0.25">
      <c r="A134" s="23">
        <v>422</v>
      </c>
      <c r="B134" s="21" t="s">
        <v>2</v>
      </c>
      <c r="C134" s="21" t="s">
        <v>132</v>
      </c>
      <c r="D134" s="148" t="s">
        <v>355</v>
      </c>
      <c r="E134" s="149">
        <v>1500000</v>
      </c>
      <c r="F134" s="148"/>
      <c r="G134" s="148"/>
      <c r="H134" s="148" t="s">
        <v>4</v>
      </c>
      <c r="I134" s="148" t="s">
        <v>356</v>
      </c>
      <c r="J134" s="148" t="s">
        <v>357</v>
      </c>
      <c r="K134" s="148" t="s">
        <v>357</v>
      </c>
      <c r="L134" s="148" t="s">
        <v>357</v>
      </c>
      <c r="M134" s="66">
        <f t="shared" ref="M134:M163" si="53">SUM(N134:S134)</f>
        <v>239703.52999999997</v>
      </c>
      <c r="N134" s="73">
        <f>137.52+228684.24+5100</f>
        <v>233921.75999999998</v>
      </c>
      <c r="O134" s="24">
        <v>5781.77</v>
      </c>
      <c r="P134" s="24"/>
      <c r="Q134" s="24"/>
      <c r="R134" s="24"/>
      <c r="S134" s="86"/>
      <c r="T134" s="103">
        <v>8</v>
      </c>
      <c r="U134" s="73"/>
      <c r="V134" s="24"/>
      <c r="W134" s="24">
        <v>1</v>
      </c>
      <c r="X134" s="24"/>
      <c r="Y134" s="24">
        <v>1</v>
      </c>
      <c r="Z134" s="24">
        <v>1</v>
      </c>
      <c r="AA134" s="24">
        <v>1</v>
      </c>
      <c r="AB134" s="24">
        <v>1</v>
      </c>
      <c r="AC134" s="24"/>
      <c r="AD134" s="24">
        <v>1</v>
      </c>
      <c r="AE134" s="24">
        <v>1</v>
      </c>
      <c r="AF134" s="24">
        <v>1</v>
      </c>
      <c r="AG134" s="24">
        <v>1</v>
      </c>
      <c r="AH134" s="24">
        <v>1</v>
      </c>
      <c r="AI134" s="24">
        <v>1</v>
      </c>
      <c r="AJ134" s="24">
        <v>1</v>
      </c>
      <c r="AK134" s="24"/>
      <c r="AL134" s="24">
        <v>1</v>
      </c>
      <c r="AM134" s="24"/>
      <c r="AN134" s="24"/>
      <c r="AO134" s="24">
        <v>1</v>
      </c>
      <c r="AP134" s="24">
        <v>1</v>
      </c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>
        <v>1</v>
      </c>
      <c r="BC134" s="24"/>
      <c r="BD134" s="74"/>
      <c r="BE134" s="73"/>
      <c r="BF134" s="24"/>
      <c r="BG134" s="24">
        <v>1</v>
      </c>
      <c r="BH134" s="24"/>
      <c r="BI134" s="86"/>
      <c r="BJ134" s="24"/>
      <c r="BK134" s="95"/>
      <c r="BL134" s="73">
        <v>1</v>
      </c>
      <c r="BM134" s="24"/>
      <c r="BN134" s="24"/>
      <c r="BO134" s="24"/>
      <c r="BP134" s="24"/>
      <c r="BQ134" s="24"/>
      <c r="BR134" s="24"/>
      <c r="BS134" s="24">
        <v>1</v>
      </c>
      <c r="BT134" s="74"/>
    </row>
    <row r="135" spans="1:72" s="25" customFormat="1" ht="31.5" x14ac:dyDescent="0.25">
      <c r="A135" s="23">
        <v>423</v>
      </c>
      <c r="B135" s="21" t="s">
        <v>2</v>
      </c>
      <c r="C135" s="21" t="s">
        <v>133</v>
      </c>
      <c r="D135" s="148" t="s">
        <v>7</v>
      </c>
      <c r="E135" s="149">
        <v>100000</v>
      </c>
      <c r="F135" s="148" t="s">
        <v>7</v>
      </c>
      <c r="G135" s="149">
        <v>200000</v>
      </c>
      <c r="H135" s="148" t="s">
        <v>4</v>
      </c>
      <c r="I135" s="148" t="s">
        <v>356</v>
      </c>
      <c r="J135" s="148" t="s">
        <v>357</v>
      </c>
      <c r="K135" s="148" t="s">
        <v>357</v>
      </c>
      <c r="L135" s="148" t="s">
        <v>356</v>
      </c>
      <c r="M135" s="66">
        <f t="shared" si="53"/>
        <v>0</v>
      </c>
      <c r="N135" s="73"/>
      <c r="O135" s="24"/>
      <c r="P135" s="24"/>
      <c r="Q135" s="24"/>
      <c r="R135" s="24"/>
      <c r="S135" s="86"/>
      <c r="T135" s="103"/>
      <c r="U135" s="73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74"/>
      <c r="BE135" s="73"/>
      <c r="BF135" s="24"/>
      <c r="BG135" s="24"/>
      <c r="BH135" s="24"/>
      <c r="BI135" s="86"/>
      <c r="BJ135" s="24"/>
      <c r="BK135" s="95"/>
      <c r="BL135" s="73"/>
      <c r="BM135" s="24"/>
      <c r="BN135" s="24"/>
      <c r="BO135" s="24"/>
      <c r="BP135" s="24"/>
      <c r="BQ135" s="24"/>
      <c r="BR135" s="24"/>
      <c r="BS135" s="24"/>
      <c r="BT135" s="74"/>
    </row>
    <row r="136" spans="1:72" s="25" customFormat="1" x14ac:dyDescent="0.25">
      <c r="A136" s="23">
        <v>424</v>
      </c>
      <c r="B136" s="21" t="s">
        <v>134</v>
      </c>
      <c r="C136" s="21" t="s">
        <v>135</v>
      </c>
      <c r="D136" s="148" t="s">
        <v>7</v>
      </c>
      <c r="E136" s="149">
        <v>100000</v>
      </c>
      <c r="F136" s="148"/>
      <c r="G136" s="148"/>
      <c r="H136" s="148" t="s">
        <v>4</v>
      </c>
      <c r="I136" s="148" t="s">
        <v>356</v>
      </c>
      <c r="J136" s="148" t="s">
        <v>357</v>
      </c>
      <c r="K136" s="148" t="s">
        <v>357</v>
      </c>
      <c r="L136" s="148" t="s">
        <v>357</v>
      </c>
      <c r="M136" s="66">
        <f t="shared" si="53"/>
        <v>48044</v>
      </c>
      <c r="N136" s="73"/>
      <c r="O136" s="24"/>
      <c r="P136" s="24"/>
      <c r="Q136" s="24"/>
      <c r="R136" s="24">
        <f>36213+11831</f>
        <v>48044</v>
      </c>
      <c r="S136" s="86"/>
      <c r="T136" s="103">
        <v>8</v>
      </c>
      <c r="U136" s="73">
        <v>1</v>
      </c>
      <c r="V136" s="24">
        <v>1</v>
      </c>
      <c r="W136" s="24">
        <v>1</v>
      </c>
      <c r="X136" s="24"/>
      <c r="Y136" s="24">
        <v>1</v>
      </c>
      <c r="Z136" s="24">
        <v>1</v>
      </c>
      <c r="AA136" s="24">
        <v>1</v>
      </c>
      <c r="AB136" s="24">
        <v>1</v>
      </c>
      <c r="AC136" s="24">
        <v>1</v>
      </c>
      <c r="AD136" s="24"/>
      <c r="AE136" s="24">
        <v>1</v>
      </c>
      <c r="AF136" s="24">
        <v>1</v>
      </c>
      <c r="AG136" s="24">
        <v>1</v>
      </c>
      <c r="AH136" s="24"/>
      <c r="AI136" s="24"/>
      <c r="AJ136" s="24"/>
      <c r="AK136" s="24">
        <v>1</v>
      </c>
      <c r="AL136" s="24"/>
      <c r="AM136" s="24">
        <v>1</v>
      </c>
      <c r="AN136" s="24">
        <v>1</v>
      </c>
      <c r="AO136" s="24">
        <v>1</v>
      </c>
      <c r="AP136" s="24">
        <v>1</v>
      </c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74"/>
      <c r="BE136" s="73"/>
      <c r="BF136" s="24">
        <v>1</v>
      </c>
      <c r="BG136" s="24"/>
      <c r="BH136" s="24"/>
      <c r="BI136" s="86"/>
      <c r="BJ136" s="24"/>
      <c r="BK136" s="95"/>
      <c r="BL136" s="73"/>
      <c r="BM136" s="24"/>
      <c r="BN136" s="24"/>
      <c r="BO136" s="24"/>
      <c r="BP136" s="24"/>
      <c r="BQ136" s="24"/>
      <c r="BR136" s="24">
        <v>1</v>
      </c>
      <c r="BS136" s="24"/>
      <c r="BT136" s="74"/>
    </row>
    <row r="137" spans="1:72" s="25" customFormat="1" x14ac:dyDescent="0.25">
      <c r="A137" s="23">
        <v>425</v>
      </c>
      <c r="B137" s="21" t="s">
        <v>2</v>
      </c>
      <c r="C137" s="21" t="s">
        <v>136</v>
      </c>
      <c r="D137" s="148" t="s">
        <v>7</v>
      </c>
      <c r="E137" s="149">
        <v>100000</v>
      </c>
      <c r="F137" s="148"/>
      <c r="G137" s="148"/>
      <c r="H137" s="148" t="s">
        <v>4</v>
      </c>
      <c r="I137" s="148" t="s">
        <v>356</v>
      </c>
      <c r="J137" s="148" t="s">
        <v>357</v>
      </c>
      <c r="K137" s="148" t="s">
        <v>357</v>
      </c>
      <c r="L137" s="148" t="s">
        <v>357</v>
      </c>
      <c r="M137" s="66">
        <f t="shared" si="53"/>
        <v>180000</v>
      </c>
      <c r="N137" s="73">
        <f>90000+90000</f>
        <v>180000</v>
      </c>
      <c r="O137" s="24"/>
      <c r="P137" s="24"/>
      <c r="Q137" s="24"/>
      <c r="R137" s="24"/>
      <c r="S137" s="86"/>
      <c r="T137" s="103">
        <v>8</v>
      </c>
      <c r="U137" s="73">
        <v>1</v>
      </c>
      <c r="V137" s="24">
        <v>1</v>
      </c>
      <c r="W137" s="24">
        <v>1</v>
      </c>
      <c r="X137" s="24">
        <v>1</v>
      </c>
      <c r="Y137" s="24">
        <v>1</v>
      </c>
      <c r="Z137" s="24">
        <v>1</v>
      </c>
      <c r="AA137" s="24">
        <v>1</v>
      </c>
      <c r="AB137" s="24">
        <v>1</v>
      </c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>
        <v>1</v>
      </c>
      <c r="AN137" s="24">
        <v>1</v>
      </c>
      <c r="AO137" s="24">
        <v>1</v>
      </c>
      <c r="AP137" s="24">
        <v>1</v>
      </c>
      <c r="AQ137" s="24">
        <v>1</v>
      </c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74"/>
      <c r="BE137" s="73"/>
      <c r="BF137" s="24"/>
      <c r="BG137" s="24">
        <v>1</v>
      </c>
      <c r="BH137" s="24"/>
      <c r="BI137" s="86"/>
      <c r="BJ137" s="24"/>
      <c r="BK137" s="95"/>
      <c r="BL137" s="73">
        <v>1</v>
      </c>
      <c r="BM137" s="24"/>
      <c r="BN137" s="24">
        <v>1</v>
      </c>
      <c r="BO137" s="24"/>
      <c r="BP137" s="24"/>
      <c r="BQ137" s="24"/>
      <c r="BR137" s="24"/>
      <c r="BS137" s="24">
        <v>1</v>
      </c>
      <c r="BT137" s="74"/>
    </row>
    <row r="138" spans="1:72" s="25" customFormat="1" ht="31.5" x14ac:dyDescent="0.25">
      <c r="A138" s="23">
        <v>426</v>
      </c>
      <c r="B138" s="21" t="s">
        <v>2</v>
      </c>
      <c r="C138" s="21" t="s">
        <v>137</v>
      </c>
      <c r="D138" s="148" t="s">
        <v>7</v>
      </c>
      <c r="E138" s="149">
        <v>100000</v>
      </c>
      <c r="F138" s="148" t="s">
        <v>7</v>
      </c>
      <c r="G138" s="149">
        <v>200000</v>
      </c>
      <c r="H138" s="148" t="s">
        <v>4</v>
      </c>
      <c r="I138" s="148" t="s">
        <v>356</v>
      </c>
      <c r="J138" s="148" t="s">
        <v>356</v>
      </c>
      <c r="K138" s="148" t="s">
        <v>357</v>
      </c>
      <c r="L138" s="148" t="s">
        <v>356</v>
      </c>
      <c r="M138" s="66">
        <f t="shared" si="53"/>
        <v>49491</v>
      </c>
      <c r="N138" s="73">
        <v>49491</v>
      </c>
      <c r="O138" s="24"/>
      <c r="P138" s="24"/>
      <c r="Q138" s="24"/>
      <c r="R138" s="24"/>
      <c r="S138" s="86"/>
      <c r="T138" s="103">
        <v>8</v>
      </c>
      <c r="U138" s="73"/>
      <c r="V138" s="24"/>
      <c r="W138" s="24"/>
      <c r="X138" s="24"/>
      <c r="Y138" s="24"/>
      <c r="Z138" s="24"/>
      <c r="AA138" s="24"/>
      <c r="AB138" s="24">
        <v>1</v>
      </c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74"/>
      <c r="BE138" s="73"/>
      <c r="BF138" s="24"/>
      <c r="BG138" s="24"/>
      <c r="BH138" s="24">
        <v>1</v>
      </c>
      <c r="BI138" s="86"/>
      <c r="BJ138" s="24"/>
      <c r="BK138" s="95"/>
      <c r="BL138" s="73"/>
      <c r="BM138" s="24"/>
      <c r="BN138" s="24"/>
      <c r="BO138" s="24"/>
      <c r="BP138" s="24"/>
      <c r="BQ138" s="24"/>
      <c r="BR138" s="24">
        <v>1</v>
      </c>
      <c r="BS138" s="24"/>
      <c r="BT138" s="74"/>
    </row>
    <row r="139" spans="1:72" s="25" customFormat="1" ht="31.5" x14ac:dyDescent="0.25">
      <c r="A139" s="23">
        <v>428</v>
      </c>
      <c r="B139" s="21" t="s">
        <v>2</v>
      </c>
      <c r="C139" s="21" t="s">
        <v>138</v>
      </c>
      <c r="D139" s="148" t="s">
        <v>7</v>
      </c>
      <c r="E139" s="149">
        <v>100000</v>
      </c>
      <c r="F139" s="148" t="s">
        <v>7</v>
      </c>
      <c r="G139" s="149">
        <v>200000</v>
      </c>
      <c r="H139" s="148" t="s">
        <v>4</v>
      </c>
      <c r="I139" s="148" t="s">
        <v>356</v>
      </c>
      <c r="J139" s="148" t="s">
        <v>356</v>
      </c>
      <c r="K139" s="148" t="s">
        <v>357</v>
      </c>
      <c r="L139" s="148" t="s">
        <v>356</v>
      </c>
      <c r="M139" s="66">
        <f t="shared" si="53"/>
        <v>48754</v>
      </c>
      <c r="N139" s="73">
        <f>2029+13297+18500+3305+4550+973+6100</f>
        <v>48754</v>
      </c>
      <c r="O139" s="24"/>
      <c r="P139" s="24"/>
      <c r="Q139" s="24"/>
      <c r="R139" s="24"/>
      <c r="S139" s="86"/>
      <c r="T139" s="103">
        <v>8</v>
      </c>
      <c r="U139" s="73"/>
      <c r="V139" s="24"/>
      <c r="W139" s="24"/>
      <c r="X139" s="24"/>
      <c r="Y139" s="24"/>
      <c r="Z139" s="24">
        <v>1</v>
      </c>
      <c r="AA139" s="24"/>
      <c r="AB139" s="24">
        <v>1</v>
      </c>
      <c r="AC139" s="24">
        <v>1</v>
      </c>
      <c r="AD139" s="24"/>
      <c r="AE139" s="24"/>
      <c r="AF139" s="24">
        <v>1</v>
      </c>
      <c r="AG139" s="24">
        <v>1</v>
      </c>
      <c r="AH139" s="24">
        <v>1</v>
      </c>
      <c r="AI139" s="24"/>
      <c r="AJ139" s="24"/>
      <c r="AK139" s="24">
        <v>1</v>
      </c>
      <c r="AL139" s="24">
        <v>1</v>
      </c>
      <c r="AM139" s="24"/>
      <c r="AN139" s="24">
        <v>1</v>
      </c>
      <c r="AO139" s="24">
        <v>1</v>
      </c>
      <c r="AP139" s="24">
        <v>1</v>
      </c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74"/>
      <c r="BE139" s="73"/>
      <c r="BF139" s="24"/>
      <c r="BG139" s="24"/>
      <c r="BH139" s="24">
        <v>1</v>
      </c>
      <c r="BI139" s="86"/>
      <c r="BJ139" s="24"/>
      <c r="BK139" s="95"/>
      <c r="BL139" s="73">
        <v>1</v>
      </c>
      <c r="BM139" s="24">
        <v>1</v>
      </c>
      <c r="BN139" s="24">
        <v>1</v>
      </c>
      <c r="BO139" s="24"/>
      <c r="BP139" s="24"/>
      <c r="BQ139" s="24"/>
      <c r="BR139" s="24">
        <v>1</v>
      </c>
      <c r="BS139" s="24"/>
      <c r="BT139" s="74"/>
    </row>
    <row r="140" spans="1:72" s="25" customFormat="1" x14ac:dyDescent="0.25">
      <c r="A140" s="23">
        <v>429</v>
      </c>
      <c r="B140" s="21" t="s">
        <v>2</v>
      </c>
      <c r="C140" s="21" t="s">
        <v>117</v>
      </c>
      <c r="D140" s="148" t="s">
        <v>7</v>
      </c>
      <c r="E140" s="149">
        <v>100000</v>
      </c>
      <c r="F140" s="148" t="s">
        <v>7</v>
      </c>
      <c r="G140" s="149">
        <v>200000</v>
      </c>
      <c r="H140" s="148" t="s">
        <v>4</v>
      </c>
      <c r="I140" s="148" t="s">
        <v>356</v>
      </c>
      <c r="J140" s="148" t="s">
        <v>357</v>
      </c>
      <c r="K140" s="148" t="s">
        <v>357</v>
      </c>
      <c r="L140" s="148" t="s">
        <v>356</v>
      </c>
      <c r="M140" s="66">
        <f t="shared" si="53"/>
        <v>28201.587370000001</v>
      </c>
      <c r="N140" s="73"/>
      <c r="O140" s="24"/>
      <c r="P140" s="24">
        <f>11167.65+2325.23+5212.56+8491.49952+1004.64785</f>
        <v>28201.587370000001</v>
      </c>
      <c r="Q140" s="24"/>
      <c r="R140" s="24"/>
      <c r="S140" s="86"/>
      <c r="T140" s="103">
        <v>8</v>
      </c>
      <c r="U140" s="73">
        <v>1</v>
      </c>
      <c r="V140" s="24">
        <v>1</v>
      </c>
      <c r="W140" s="24">
        <v>1</v>
      </c>
      <c r="X140" s="24"/>
      <c r="Y140" s="24"/>
      <c r="Z140" s="24">
        <v>1</v>
      </c>
      <c r="AA140" s="24"/>
      <c r="AB140" s="24">
        <v>1</v>
      </c>
      <c r="AC140" s="24"/>
      <c r="AD140" s="24">
        <v>1</v>
      </c>
      <c r="AE140" s="24">
        <v>1</v>
      </c>
      <c r="AF140" s="24">
        <v>1</v>
      </c>
      <c r="AG140" s="24">
        <v>1</v>
      </c>
      <c r="AH140" s="24">
        <v>1</v>
      </c>
      <c r="AI140" s="24">
        <v>1</v>
      </c>
      <c r="AJ140" s="24"/>
      <c r="AK140" s="24">
        <v>1</v>
      </c>
      <c r="AL140" s="24">
        <v>1</v>
      </c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74"/>
      <c r="BE140" s="73"/>
      <c r="BF140" s="24"/>
      <c r="BG140" s="24">
        <v>1</v>
      </c>
      <c r="BH140" s="24">
        <v>1</v>
      </c>
      <c r="BI140" s="86"/>
      <c r="BJ140" s="24">
        <v>1</v>
      </c>
      <c r="BK140" s="95"/>
      <c r="BL140" s="73"/>
      <c r="BM140" s="24">
        <v>1</v>
      </c>
      <c r="BN140" s="24"/>
      <c r="BO140" s="24"/>
      <c r="BP140" s="24"/>
      <c r="BQ140" s="24"/>
      <c r="BR140" s="24"/>
      <c r="BS140" s="24"/>
      <c r="BT140" s="74"/>
    </row>
    <row r="141" spans="1:72" s="25" customFormat="1" x14ac:dyDescent="0.25">
      <c r="A141" s="23">
        <v>430</v>
      </c>
      <c r="B141" s="21" t="s">
        <v>2</v>
      </c>
      <c r="C141" s="21" t="s">
        <v>139</v>
      </c>
      <c r="D141" s="148" t="s">
        <v>7</v>
      </c>
      <c r="E141" s="149">
        <v>100000</v>
      </c>
      <c r="F141" s="148"/>
      <c r="G141" s="148"/>
      <c r="H141" s="148" t="s">
        <v>4</v>
      </c>
      <c r="I141" s="148" t="s">
        <v>356</v>
      </c>
      <c r="J141" s="148" t="s">
        <v>356</v>
      </c>
      <c r="K141" s="148" t="s">
        <v>357</v>
      </c>
      <c r="L141" s="148" t="s">
        <v>357</v>
      </c>
      <c r="M141" s="66">
        <f t="shared" si="53"/>
        <v>78463.41</v>
      </c>
      <c r="N141" s="73">
        <f>4603.99+6574.37+3705+2188.1+21877.39</f>
        <v>38948.85</v>
      </c>
      <c r="O141" s="24"/>
      <c r="P141" s="24">
        <f>7329.6+18000+8284.29+690.67+5210</f>
        <v>39514.559999999998</v>
      </c>
      <c r="Q141" s="24"/>
      <c r="R141" s="24"/>
      <c r="S141" s="86"/>
      <c r="T141" s="103">
        <v>8</v>
      </c>
      <c r="U141" s="73"/>
      <c r="V141" s="24"/>
      <c r="W141" s="24"/>
      <c r="X141" s="24"/>
      <c r="Y141" s="24"/>
      <c r="Z141" s="24"/>
      <c r="AA141" s="24"/>
      <c r="AB141" s="24"/>
      <c r="AC141" s="24">
        <v>1</v>
      </c>
      <c r="AD141" s="24"/>
      <c r="AE141" s="24">
        <v>1</v>
      </c>
      <c r="AF141" s="24"/>
      <c r="AG141" s="24">
        <v>1</v>
      </c>
      <c r="AH141" s="24"/>
      <c r="AI141" s="24"/>
      <c r="AJ141" s="24"/>
      <c r="AK141" s="24"/>
      <c r="AL141" s="24">
        <v>1</v>
      </c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74"/>
      <c r="BE141" s="73"/>
      <c r="BF141" s="24"/>
      <c r="BG141" s="24">
        <v>1</v>
      </c>
      <c r="BH141" s="24">
        <v>1</v>
      </c>
      <c r="BI141" s="86"/>
      <c r="BJ141" s="24">
        <v>1</v>
      </c>
      <c r="BK141" s="95"/>
      <c r="BL141" s="73"/>
      <c r="BM141" s="24"/>
      <c r="BN141" s="24">
        <v>1</v>
      </c>
      <c r="BO141" s="24"/>
      <c r="BP141" s="24"/>
      <c r="BQ141" s="24"/>
      <c r="BR141" s="24">
        <v>1</v>
      </c>
      <c r="BS141" s="24"/>
      <c r="BT141" s="74"/>
    </row>
    <row r="142" spans="1:72" s="25" customFormat="1" x14ac:dyDescent="0.25">
      <c r="A142" s="23">
        <v>431</v>
      </c>
      <c r="B142" s="21" t="s">
        <v>2</v>
      </c>
      <c r="C142" s="21" t="s">
        <v>140</v>
      </c>
      <c r="D142" s="148" t="s">
        <v>7</v>
      </c>
      <c r="E142" s="149">
        <v>100000</v>
      </c>
      <c r="F142" s="148"/>
      <c r="G142" s="148"/>
      <c r="H142" s="148" t="s">
        <v>4</v>
      </c>
      <c r="I142" s="148" t="s">
        <v>356</v>
      </c>
      <c r="J142" s="148" t="s">
        <v>357</v>
      </c>
      <c r="K142" s="148" t="s">
        <v>357</v>
      </c>
      <c r="L142" s="148" t="s">
        <v>357</v>
      </c>
      <c r="M142" s="66">
        <f t="shared" si="53"/>
        <v>19567.456539999999</v>
      </c>
      <c r="N142" s="73">
        <f>1385.8621+1748.618+7723.42715+2101.77719+5530.4521+1077.32</f>
        <v>19567.456539999999</v>
      </c>
      <c r="O142" s="24"/>
      <c r="P142" s="24"/>
      <c r="Q142" s="24"/>
      <c r="R142" s="24"/>
      <c r="S142" s="86"/>
      <c r="T142" s="103">
        <v>8</v>
      </c>
      <c r="U142" s="73"/>
      <c r="V142" s="24"/>
      <c r="W142" s="24"/>
      <c r="X142" s="24"/>
      <c r="Y142" s="24"/>
      <c r="Z142" s="24"/>
      <c r="AA142" s="24"/>
      <c r="AB142" s="24"/>
      <c r="AC142" s="24">
        <v>1</v>
      </c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74"/>
      <c r="BE142" s="73"/>
      <c r="BF142" s="24"/>
      <c r="BG142" s="24"/>
      <c r="BH142" s="24">
        <v>1</v>
      </c>
      <c r="BI142" s="86"/>
      <c r="BJ142" s="24"/>
      <c r="BK142" s="95"/>
      <c r="BL142" s="73">
        <v>1</v>
      </c>
      <c r="BM142" s="24">
        <v>1</v>
      </c>
      <c r="BN142" s="24"/>
      <c r="BO142" s="24"/>
      <c r="BP142" s="24"/>
      <c r="BQ142" s="24"/>
      <c r="BR142" s="24">
        <v>1</v>
      </c>
      <c r="BS142" s="24">
        <v>1</v>
      </c>
      <c r="BT142" s="74"/>
    </row>
    <row r="143" spans="1:72" s="25" customFormat="1" x14ac:dyDescent="0.25">
      <c r="A143" s="23">
        <v>432</v>
      </c>
      <c r="B143" s="21" t="s">
        <v>2</v>
      </c>
      <c r="C143" s="21" t="s">
        <v>141</v>
      </c>
      <c r="D143" s="148" t="s">
        <v>7</v>
      </c>
      <c r="E143" s="149">
        <v>100000</v>
      </c>
      <c r="F143" s="148" t="s">
        <v>7</v>
      </c>
      <c r="G143" s="149">
        <v>200000</v>
      </c>
      <c r="H143" s="148" t="s">
        <v>4</v>
      </c>
      <c r="I143" s="148" t="s">
        <v>356</v>
      </c>
      <c r="J143" s="148" t="s">
        <v>356</v>
      </c>
      <c r="K143" s="148" t="s">
        <v>357</v>
      </c>
      <c r="L143" s="148" t="s">
        <v>356</v>
      </c>
      <c r="M143" s="66">
        <f t="shared" si="53"/>
        <v>17387.58842</v>
      </c>
      <c r="N143" s="73">
        <f>4486.578+10665.3072</f>
        <v>15151.885200000001</v>
      </c>
      <c r="O143" s="24"/>
      <c r="P143" s="24">
        <f>1071.05044+1164.65278</f>
        <v>2235.7032199999999</v>
      </c>
      <c r="Q143" s="24"/>
      <c r="R143" s="24"/>
      <c r="S143" s="86"/>
      <c r="T143" s="103"/>
      <c r="U143" s="73"/>
      <c r="V143" s="24">
        <v>1</v>
      </c>
      <c r="W143" s="24"/>
      <c r="X143" s="24"/>
      <c r="Y143" s="24"/>
      <c r="Z143" s="24">
        <v>1</v>
      </c>
      <c r="AA143" s="24"/>
      <c r="AB143" s="24"/>
      <c r="AC143" s="24"/>
      <c r="AD143" s="24"/>
      <c r="AE143" s="24">
        <v>1</v>
      </c>
      <c r="AF143" s="24"/>
      <c r="AG143" s="24"/>
      <c r="AH143" s="24"/>
      <c r="AI143" s="24"/>
      <c r="AJ143" s="24"/>
      <c r="AK143" s="24"/>
      <c r="AL143" s="24"/>
      <c r="AM143" s="24"/>
      <c r="AN143" s="24">
        <v>1</v>
      </c>
      <c r="AO143" s="24"/>
      <c r="AP143" s="24">
        <v>1</v>
      </c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74"/>
      <c r="BE143" s="73"/>
      <c r="BF143" s="24"/>
      <c r="BG143" s="24">
        <v>1</v>
      </c>
      <c r="BH143" s="24"/>
      <c r="BI143" s="86"/>
      <c r="BJ143" s="24">
        <v>1</v>
      </c>
      <c r="BK143" s="95"/>
      <c r="BL143" s="73"/>
      <c r="BM143" s="24"/>
      <c r="BN143" s="24"/>
      <c r="BO143" s="24"/>
      <c r="BP143" s="24"/>
      <c r="BQ143" s="24"/>
      <c r="BR143" s="24">
        <v>1</v>
      </c>
      <c r="BS143" s="24"/>
      <c r="BT143" s="74"/>
    </row>
    <row r="144" spans="1:72" s="25" customFormat="1" x14ac:dyDescent="0.25">
      <c r="A144" s="23">
        <v>433</v>
      </c>
      <c r="B144" s="21" t="s">
        <v>57</v>
      </c>
      <c r="C144" s="21" t="s">
        <v>142</v>
      </c>
      <c r="D144" s="148" t="s">
        <v>358</v>
      </c>
      <c r="E144" s="149">
        <v>2000000</v>
      </c>
      <c r="F144" s="148"/>
      <c r="G144" s="148"/>
      <c r="H144" s="148" t="s">
        <v>4</v>
      </c>
      <c r="I144" s="148" t="s">
        <v>356</v>
      </c>
      <c r="J144" s="148" t="s">
        <v>356</v>
      </c>
      <c r="K144" s="148" t="s">
        <v>357</v>
      </c>
      <c r="L144" s="148" t="s">
        <v>357</v>
      </c>
      <c r="M144" s="66">
        <f t="shared" si="53"/>
        <v>4448724.91</v>
      </c>
      <c r="N144" s="73">
        <f>791671.49+3657053.42</f>
        <v>4448724.91</v>
      </c>
      <c r="O144" s="24"/>
      <c r="P144" s="24"/>
      <c r="Q144" s="24"/>
      <c r="R144" s="24"/>
      <c r="S144" s="86"/>
      <c r="T144" s="103">
        <v>17</v>
      </c>
      <c r="U144" s="73">
        <v>1</v>
      </c>
      <c r="V144" s="24">
        <v>1</v>
      </c>
      <c r="W144" s="24">
        <v>1</v>
      </c>
      <c r="X144" s="24">
        <v>1</v>
      </c>
      <c r="Y144" s="24">
        <v>1</v>
      </c>
      <c r="Z144" s="24">
        <v>1</v>
      </c>
      <c r="AA144" s="24">
        <v>1</v>
      </c>
      <c r="AB144" s="24">
        <v>1</v>
      </c>
      <c r="AC144" s="24">
        <v>1</v>
      </c>
      <c r="AD144" s="24">
        <v>1</v>
      </c>
      <c r="AE144" s="24">
        <v>1</v>
      </c>
      <c r="AF144" s="24">
        <v>1</v>
      </c>
      <c r="AG144" s="24">
        <v>1</v>
      </c>
      <c r="AH144" s="24">
        <v>1</v>
      </c>
      <c r="AI144" s="24">
        <v>1</v>
      </c>
      <c r="AJ144" s="24">
        <v>1</v>
      </c>
      <c r="AK144" s="24">
        <v>1</v>
      </c>
      <c r="AL144" s="24">
        <v>1</v>
      </c>
      <c r="AM144" s="24">
        <v>1</v>
      </c>
      <c r="AN144" s="24">
        <v>1</v>
      </c>
      <c r="AO144" s="24">
        <v>1</v>
      </c>
      <c r="AP144" s="24">
        <v>1</v>
      </c>
      <c r="AQ144" s="24">
        <v>1</v>
      </c>
      <c r="AR144" s="24">
        <v>1</v>
      </c>
      <c r="AS144" s="24">
        <v>1</v>
      </c>
      <c r="AT144" s="24"/>
      <c r="AU144" s="24"/>
      <c r="AV144" s="24"/>
      <c r="AW144" s="24"/>
      <c r="AX144" s="24"/>
      <c r="AY144" s="24">
        <v>1</v>
      </c>
      <c r="AZ144" s="24"/>
      <c r="BA144" s="24"/>
      <c r="BB144" s="24">
        <v>1</v>
      </c>
      <c r="BC144" s="24"/>
      <c r="BD144" s="74"/>
      <c r="BE144" s="73"/>
      <c r="BF144" s="24"/>
      <c r="BG144" s="24">
        <v>1</v>
      </c>
      <c r="BH144" s="24"/>
      <c r="BI144" s="86"/>
      <c r="BJ144" s="24"/>
      <c r="BK144" s="95"/>
      <c r="BL144" s="73"/>
      <c r="BM144" s="24">
        <v>1</v>
      </c>
      <c r="BN144" s="24"/>
      <c r="BO144" s="24"/>
      <c r="BP144" s="24"/>
      <c r="BQ144" s="24"/>
      <c r="BR144" s="24"/>
      <c r="BS144" s="24"/>
      <c r="BT144" s="74"/>
    </row>
    <row r="145" spans="1:72" s="25" customFormat="1" x14ac:dyDescent="0.25">
      <c r="A145" s="23">
        <v>434</v>
      </c>
      <c r="B145" s="21" t="s">
        <v>2</v>
      </c>
      <c r="C145" s="21" t="s">
        <v>143</v>
      </c>
      <c r="D145" s="148" t="s">
        <v>7</v>
      </c>
      <c r="E145" s="149">
        <v>100000</v>
      </c>
      <c r="F145" s="148"/>
      <c r="G145" s="148"/>
      <c r="H145" s="148" t="s">
        <v>4</v>
      </c>
      <c r="I145" s="148" t="s">
        <v>356</v>
      </c>
      <c r="J145" s="148" t="s">
        <v>357</v>
      </c>
      <c r="K145" s="148" t="s">
        <v>357</v>
      </c>
      <c r="L145" s="148" t="s">
        <v>357</v>
      </c>
      <c r="M145" s="66">
        <f t="shared" si="53"/>
        <v>180000</v>
      </c>
      <c r="N145" s="73">
        <f>90000+90000</f>
        <v>180000</v>
      </c>
      <c r="O145" s="24"/>
      <c r="P145" s="24"/>
      <c r="Q145" s="24"/>
      <c r="R145" s="24"/>
      <c r="S145" s="86"/>
      <c r="T145" s="103">
        <v>8</v>
      </c>
      <c r="U145" s="73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74"/>
      <c r="BE145" s="73"/>
      <c r="BF145" s="24">
        <v>1</v>
      </c>
      <c r="BG145" s="24"/>
      <c r="BH145" s="24"/>
      <c r="BI145" s="86"/>
      <c r="BJ145" s="24"/>
      <c r="BK145" s="95"/>
      <c r="BL145" s="73">
        <v>1</v>
      </c>
      <c r="BM145" s="24"/>
      <c r="BN145" s="24">
        <v>1</v>
      </c>
      <c r="BO145" s="24"/>
      <c r="BP145" s="24"/>
      <c r="BQ145" s="24"/>
      <c r="BR145" s="24"/>
      <c r="BS145" s="24">
        <v>1</v>
      </c>
      <c r="BT145" s="74"/>
    </row>
    <row r="146" spans="1:72" s="25" customFormat="1" x14ac:dyDescent="0.25">
      <c r="A146" s="23">
        <v>435</v>
      </c>
      <c r="B146" s="21" t="s">
        <v>2</v>
      </c>
      <c r="C146" s="21" t="s">
        <v>144</v>
      </c>
      <c r="D146" s="148" t="s">
        <v>7</v>
      </c>
      <c r="E146" s="149">
        <v>100000</v>
      </c>
      <c r="F146" s="148"/>
      <c r="G146" s="148"/>
      <c r="H146" s="148" t="s">
        <v>4</v>
      </c>
      <c r="I146" s="148" t="s">
        <v>356</v>
      </c>
      <c r="J146" s="148" t="s">
        <v>357</v>
      </c>
      <c r="K146" s="148" t="s">
        <v>357</v>
      </c>
      <c r="L146" s="148" t="s">
        <v>357</v>
      </c>
      <c r="M146" s="66">
        <f t="shared" si="53"/>
        <v>0</v>
      </c>
      <c r="N146" s="73"/>
      <c r="O146" s="24"/>
      <c r="P146" s="24"/>
      <c r="Q146" s="24"/>
      <c r="R146" s="24"/>
      <c r="S146" s="86"/>
      <c r="T146" s="103"/>
      <c r="U146" s="73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74"/>
      <c r="BE146" s="73"/>
      <c r="BF146" s="24"/>
      <c r="BG146" s="24"/>
      <c r="BH146" s="24"/>
      <c r="BI146" s="86"/>
      <c r="BJ146" s="24"/>
      <c r="BK146" s="95"/>
      <c r="BL146" s="73"/>
      <c r="BM146" s="24"/>
      <c r="BN146" s="24"/>
      <c r="BO146" s="24"/>
      <c r="BP146" s="24"/>
      <c r="BQ146" s="24"/>
      <c r="BR146" s="24"/>
      <c r="BS146" s="24"/>
      <c r="BT146" s="74"/>
    </row>
    <row r="147" spans="1:72" s="25" customFormat="1" ht="31.5" x14ac:dyDescent="0.25">
      <c r="A147" s="23">
        <v>436</v>
      </c>
      <c r="B147" s="21" t="s">
        <v>2</v>
      </c>
      <c r="C147" s="21" t="s">
        <v>145</v>
      </c>
      <c r="D147" s="148" t="s">
        <v>7</v>
      </c>
      <c r="E147" s="149">
        <v>100000</v>
      </c>
      <c r="F147" s="148"/>
      <c r="G147" s="148"/>
      <c r="H147" s="148" t="s">
        <v>4</v>
      </c>
      <c r="I147" s="148" t="s">
        <v>356</v>
      </c>
      <c r="J147" s="148" t="s">
        <v>357</v>
      </c>
      <c r="K147" s="148" t="s">
        <v>357</v>
      </c>
      <c r="L147" s="148" t="s">
        <v>357</v>
      </c>
      <c r="M147" s="66">
        <f t="shared" si="53"/>
        <v>0</v>
      </c>
      <c r="N147" s="73"/>
      <c r="O147" s="24"/>
      <c r="P147" s="24"/>
      <c r="Q147" s="24"/>
      <c r="R147" s="24"/>
      <c r="S147" s="86"/>
      <c r="T147" s="103">
        <v>8</v>
      </c>
      <c r="U147" s="73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74"/>
      <c r="BE147" s="73"/>
      <c r="BF147" s="24">
        <v>1</v>
      </c>
      <c r="BG147" s="24"/>
      <c r="BH147" s="24">
        <v>1</v>
      </c>
      <c r="BI147" s="86"/>
      <c r="BJ147" s="24"/>
      <c r="BK147" s="95"/>
      <c r="BL147" s="73">
        <v>1</v>
      </c>
      <c r="BM147" s="24"/>
      <c r="BN147" s="24"/>
      <c r="BO147" s="24"/>
      <c r="BP147" s="24"/>
      <c r="BQ147" s="24"/>
      <c r="BR147" s="24"/>
      <c r="BS147" s="24"/>
      <c r="BT147" s="74"/>
    </row>
    <row r="148" spans="1:72" s="25" customFormat="1" x14ac:dyDescent="0.25">
      <c r="A148" s="23">
        <v>437</v>
      </c>
      <c r="B148" s="21" t="s">
        <v>2</v>
      </c>
      <c r="C148" s="21" t="s">
        <v>146</v>
      </c>
      <c r="D148" s="148" t="s">
        <v>354</v>
      </c>
      <c r="E148" s="149">
        <v>500000</v>
      </c>
      <c r="F148" s="148"/>
      <c r="G148" s="148"/>
      <c r="H148" s="148" t="s">
        <v>4</v>
      </c>
      <c r="I148" s="148" t="s">
        <v>356</v>
      </c>
      <c r="J148" s="148" t="s">
        <v>356</v>
      </c>
      <c r="K148" s="148" t="s">
        <v>357</v>
      </c>
      <c r="L148" s="148" t="s">
        <v>357</v>
      </c>
      <c r="M148" s="66">
        <f t="shared" si="53"/>
        <v>1352300.2730000003</v>
      </c>
      <c r="N148" s="73">
        <f>1256976.651+52215.931+43107.691</f>
        <v>1352300.2730000003</v>
      </c>
      <c r="O148" s="24"/>
      <c r="P148" s="24"/>
      <c r="Q148" s="24"/>
      <c r="R148" s="24"/>
      <c r="S148" s="86"/>
      <c r="T148" s="103">
        <v>8.1999999999999993</v>
      </c>
      <c r="U148" s="73"/>
      <c r="V148" s="24"/>
      <c r="W148" s="24"/>
      <c r="X148" s="24"/>
      <c r="Y148" s="24"/>
      <c r="Z148" s="24">
        <v>1</v>
      </c>
      <c r="AA148" s="24">
        <v>1</v>
      </c>
      <c r="AB148" s="24">
        <v>1</v>
      </c>
      <c r="AC148" s="24">
        <v>1</v>
      </c>
      <c r="AD148" s="24">
        <v>1</v>
      </c>
      <c r="AE148" s="24">
        <v>1</v>
      </c>
      <c r="AF148" s="24">
        <v>1</v>
      </c>
      <c r="AG148" s="24">
        <v>1</v>
      </c>
      <c r="AH148" s="24">
        <v>1</v>
      </c>
      <c r="AI148" s="24">
        <v>1</v>
      </c>
      <c r="AJ148" s="24"/>
      <c r="AK148" s="24">
        <v>1</v>
      </c>
      <c r="AL148" s="24">
        <v>1</v>
      </c>
      <c r="AM148" s="24">
        <v>1</v>
      </c>
      <c r="AN148" s="24">
        <v>1</v>
      </c>
      <c r="AO148" s="24">
        <v>1</v>
      </c>
      <c r="AP148" s="24">
        <v>1</v>
      </c>
      <c r="AQ148" s="24"/>
      <c r="AR148" s="24"/>
      <c r="AS148" s="24">
        <v>1</v>
      </c>
      <c r="AT148" s="24">
        <v>1</v>
      </c>
      <c r="AU148" s="24">
        <v>1</v>
      </c>
      <c r="AV148" s="24"/>
      <c r="AW148" s="24">
        <v>1</v>
      </c>
      <c r="AX148" s="24"/>
      <c r="AY148" s="24">
        <v>1</v>
      </c>
      <c r="AZ148" s="24"/>
      <c r="BA148" s="24"/>
      <c r="BB148" s="24">
        <v>1</v>
      </c>
      <c r="BC148" s="24"/>
      <c r="BD148" s="74"/>
      <c r="BE148" s="73"/>
      <c r="BF148" s="24"/>
      <c r="BG148" s="24">
        <v>1</v>
      </c>
      <c r="BH148" s="24"/>
      <c r="BI148" s="86"/>
      <c r="BJ148" s="24"/>
      <c r="BK148" s="95"/>
      <c r="BL148" s="73"/>
      <c r="BM148" s="24"/>
      <c r="BN148" s="24"/>
      <c r="BO148" s="24"/>
      <c r="BP148" s="24"/>
      <c r="BQ148" s="24"/>
      <c r="BR148" s="24">
        <v>1</v>
      </c>
      <c r="BS148" s="24"/>
      <c r="BT148" s="74"/>
    </row>
    <row r="149" spans="1:72" s="25" customFormat="1" ht="31.5" x14ac:dyDescent="0.25">
      <c r="A149" s="23">
        <v>438</v>
      </c>
      <c r="B149" s="21" t="s">
        <v>2</v>
      </c>
      <c r="C149" s="21" t="s">
        <v>147</v>
      </c>
      <c r="D149" s="148" t="s">
        <v>7</v>
      </c>
      <c r="E149" s="149">
        <v>100000</v>
      </c>
      <c r="F149" s="148"/>
      <c r="G149" s="148"/>
      <c r="H149" s="148" t="s">
        <v>4</v>
      </c>
      <c r="I149" s="148" t="s">
        <v>356</v>
      </c>
      <c r="J149" s="148" t="s">
        <v>356</v>
      </c>
      <c r="K149" s="148" t="s">
        <v>357</v>
      </c>
      <c r="L149" s="148" t="s">
        <v>357</v>
      </c>
      <c r="M149" s="66">
        <f t="shared" si="53"/>
        <v>73730</v>
      </c>
      <c r="N149" s="73"/>
      <c r="O149" s="24"/>
      <c r="P149" s="24">
        <f>7953+15098+10620+16053+11851+12155</f>
        <v>73730</v>
      </c>
      <c r="Q149" s="24"/>
      <c r="R149" s="24"/>
      <c r="S149" s="86"/>
      <c r="T149" s="103">
        <v>8</v>
      </c>
      <c r="U149" s="73"/>
      <c r="V149" s="24"/>
      <c r="W149" s="24"/>
      <c r="X149" s="24"/>
      <c r="Y149" s="24"/>
      <c r="Z149" s="24"/>
      <c r="AA149" s="24">
        <v>1</v>
      </c>
      <c r="AB149" s="24">
        <v>1</v>
      </c>
      <c r="AC149" s="24">
        <v>1</v>
      </c>
      <c r="AD149" s="24">
        <v>1</v>
      </c>
      <c r="AE149" s="24">
        <v>1</v>
      </c>
      <c r="AF149" s="24"/>
      <c r="AG149" s="24"/>
      <c r="AH149" s="24">
        <v>1</v>
      </c>
      <c r="AI149" s="24"/>
      <c r="AJ149" s="24"/>
      <c r="AK149" s="24"/>
      <c r="AL149" s="24"/>
      <c r="AM149" s="24"/>
      <c r="AN149" s="24"/>
      <c r="AO149" s="24"/>
      <c r="AP149" s="24">
        <v>1</v>
      </c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74"/>
      <c r="BE149" s="73">
        <v>1</v>
      </c>
      <c r="BF149" s="24"/>
      <c r="BG149" s="24">
        <v>1</v>
      </c>
      <c r="BH149" s="24">
        <v>1</v>
      </c>
      <c r="BI149" s="86"/>
      <c r="BJ149" s="24">
        <v>1</v>
      </c>
      <c r="BK149" s="95"/>
      <c r="BL149" s="73"/>
      <c r="BM149" s="24"/>
      <c r="BN149" s="24"/>
      <c r="BO149" s="24"/>
      <c r="BP149" s="24"/>
      <c r="BQ149" s="24"/>
      <c r="BR149" s="24">
        <v>1</v>
      </c>
      <c r="BS149" s="24"/>
      <c r="BT149" s="74"/>
    </row>
    <row r="150" spans="1:72" s="25" customFormat="1" x14ac:dyDescent="0.25">
      <c r="A150" s="23">
        <v>439</v>
      </c>
      <c r="B150" s="21" t="s">
        <v>2</v>
      </c>
      <c r="C150" s="21" t="s">
        <v>148</v>
      </c>
      <c r="D150" s="148" t="s">
        <v>7</v>
      </c>
      <c r="E150" s="149">
        <v>100000</v>
      </c>
      <c r="F150" s="148"/>
      <c r="G150" s="148"/>
      <c r="H150" s="148" t="s">
        <v>4</v>
      </c>
      <c r="I150" s="148" t="s">
        <v>356</v>
      </c>
      <c r="J150" s="148" t="s">
        <v>357</v>
      </c>
      <c r="K150" s="148" t="s">
        <v>357</v>
      </c>
      <c r="L150" s="148" t="s">
        <v>357</v>
      </c>
      <c r="M150" s="66">
        <f t="shared" si="53"/>
        <v>0</v>
      </c>
      <c r="N150" s="73"/>
      <c r="O150" s="24"/>
      <c r="P150" s="24"/>
      <c r="Q150" s="24"/>
      <c r="R150" s="24"/>
      <c r="S150" s="86"/>
      <c r="T150" s="103"/>
      <c r="U150" s="73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74"/>
      <c r="BE150" s="73"/>
      <c r="BF150" s="24">
        <v>1</v>
      </c>
      <c r="BG150" s="24"/>
      <c r="BH150" s="24"/>
      <c r="BI150" s="86"/>
      <c r="BJ150" s="24"/>
      <c r="BK150" s="95"/>
      <c r="BL150" s="73">
        <v>1</v>
      </c>
      <c r="BM150" s="24"/>
      <c r="BN150" s="24"/>
      <c r="BO150" s="24"/>
      <c r="BP150" s="24"/>
      <c r="BQ150" s="24"/>
      <c r="BR150" s="24"/>
      <c r="BS150" s="24"/>
      <c r="BT150" s="74"/>
    </row>
    <row r="151" spans="1:72" s="19" customFormat="1" x14ac:dyDescent="0.25">
      <c r="A151" s="15">
        <v>441</v>
      </c>
      <c r="B151" s="16" t="s">
        <v>2</v>
      </c>
      <c r="C151" s="16" t="s">
        <v>149</v>
      </c>
      <c r="D151" s="150" t="s">
        <v>354</v>
      </c>
      <c r="E151" s="151">
        <v>500000</v>
      </c>
      <c r="F151" s="150" t="s">
        <v>354</v>
      </c>
      <c r="G151" s="151">
        <v>2500000</v>
      </c>
      <c r="H151" s="152" t="s">
        <v>4</v>
      </c>
      <c r="I151" s="150" t="s">
        <v>356</v>
      </c>
      <c r="J151" s="150" t="s">
        <v>356</v>
      </c>
      <c r="K151" s="150" t="s">
        <v>357</v>
      </c>
      <c r="L151" s="150" t="s">
        <v>356</v>
      </c>
      <c r="M151" s="65">
        <f t="shared" si="53"/>
        <v>0</v>
      </c>
      <c r="N151" s="71"/>
      <c r="O151" s="18"/>
      <c r="P151" s="18"/>
      <c r="Q151" s="18"/>
      <c r="R151" s="18"/>
      <c r="S151" s="85"/>
      <c r="T151" s="102"/>
      <c r="U151" s="71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72"/>
      <c r="BE151" s="71"/>
      <c r="BF151" s="18"/>
      <c r="BG151" s="18"/>
      <c r="BH151" s="18"/>
      <c r="BI151" s="85"/>
      <c r="BJ151" s="18"/>
      <c r="BK151" s="94"/>
      <c r="BL151" s="71"/>
      <c r="BM151" s="18"/>
      <c r="BN151" s="18"/>
      <c r="BO151" s="18"/>
      <c r="BP151" s="18"/>
      <c r="BQ151" s="18"/>
      <c r="BR151" s="18"/>
      <c r="BS151" s="18"/>
      <c r="BT151" s="72"/>
    </row>
    <row r="152" spans="1:72" s="25" customFormat="1" x14ac:dyDescent="0.25">
      <c r="A152" s="23">
        <v>442</v>
      </c>
      <c r="B152" s="21" t="s">
        <v>2</v>
      </c>
      <c r="C152" s="21" t="s">
        <v>150</v>
      </c>
      <c r="D152" s="148" t="s">
        <v>354</v>
      </c>
      <c r="E152" s="149">
        <v>500000</v>
      </c>
      <c r="F152" s="148" t="s">
        <v>354</v>
      </c>
      <c r="G152" s="149">
        <v>2500000</v>
      </c>
      <c r="H152" s="148" t="s">
        <v>4</v>
      </c>
      <c r="I152" s="148" t="s">
        <v>356</v>
      </c>
      <c r="J152" s="148" t="s">
        <v>356</v>
      </c>
      <c r="K152" s="148" t="s">
        <v>357</v>
      </c>
      <c r="L152" s="148" t="s">
        <v>356</v>
      </c>
      <c r="M152" s="66">
        <f t="shared" si="53"/>
        <v>150433.90299999999</v>
      </c>
      <c r="N152" s="73">
        <f>30331.964+26680.159+281.714+25552.202+6778.44+1371.348</f>
        <v>90995.827000000005</v>
      </c>
      <c r="O152" s="24">
        <f>30751.38+12495.065+5995.158+3775.723</f>
        <v>53017.326000000001</v>
      </c>
      <c r="P152" s="24">
        <v>6420.75</v>
      </c>
      <c r="Q152" s="24"/>
      <c r="R152" s="24"/>
      <c r="S152" s="86"/>
      <c r="T152" s="103">
        <v>8</v>
      </c>
      <c r="U152" s="73">
        <v>1</v>
      </c>
      <c r="V152" s="24"/>
      <c r="W152" s="24"/>
      <c r="X152" s="24"/>
      <c r="Y152" s="24"/>
      <c r="Z152" s="24"/>
      <c r="AA152" s="24">
        <v>1</v>
      </c>
      <c r="AB152" s="24"/>
      <c r="AC152" s="24"/>
      <c r="AD152" s="24"/>
      <c r="AE152" s="24"/>
      <c r="AF152" s="24"/>
      <c r="AG152" s="24"/>
      <c r="AH152" s="24"/>
      <c r="AI152" s="24"/>
      <c r="AJ152" s="24"/>
      <c r="AK152" s="24">
        <v>1</v>
      </c>
      <c r="AL152" s="24"/>
      <c r="AM152" s="24"/>
      <c r="AN152" s="24"/>
      <c r="AO152" s="24"/>
      <c r="AP152" s="24"/>
      <c r="AQ152" s="24"/>
      <c r="AR152" s="24"/>
      <c r="AS152" s="24"/>
      <c r="AT152" s="24"/>
      <c r="AU152" s="24">
        <v>1</v>
      </c>
      <c r="AV152" s="24"/>
      <c r="AW152" s="24"/>
      <c r="AX152" s="24"/>
      <c r="AY152" s="24"/>
      <c r="AZ152" s="24"/>
      <c r="BA152" s="24"/>
      <c r="BB152" s="24"/>
      <c r="BC152" s="24"/>
      <c r="BD152" s="74"/>
      <c r="BE152" s="73"/>
      <c r="BF152" s="24"/>
      <c r="BG152" s="24"/>
      <c r="BH152" s="24">
        <v>1</v>
      </c>
      <c r="BI152" s="86"/>
      <c r="BJ152" s="24"/>
      <c r="BK152" s="95"/>
      <c r="BL152" s="73"/>
      <c r="BM152" s="24"/>
      <c r="BN152" s="24"/>
      <c r="BO152" s="24"/>
      <c r="BP152" s="24"/>
      <c r="BQ152" s="24"/>
      <c r="BR152" s="24"/>
      <c r="BS152" s="24"/>
      <c r="BT152" s="74">
        <v>1</v>
      </c>
    </row>
    <row r="153" spans="1:72" s="25" customFormat="1" ht="31.5" x14ac:dyDescent="0.25">
      <c r="A153" s="23">
        <v>443</v>
      </c>
      <c r="B153" s="21" t="s">
        <v>2</v>
      </c>
      <c r="C153" s="21" t="s">
        <v>151</v>
      </c>
      <c r="D153" s="148" t="s">
        <v>7</v>
      </c>
      <c r="E153" s="149">
        <v>100000</v>
      </c>
      <c r="F153" s="148"/>
      <c r="G153" s="148"/>
      <c r="H153" s="148" t="s">
        <v>4</v>
      </c>
      <c r="I153" s="148" t="s">
        <v>356</v>
      </c>
      <c r="J153" s="148" t="s">
        <v>357</v>
      </c>
      <c r="K153" s="148" t="s">
        <v>357</v>
      </c>
      <c r="L153" s="148" t="s">
        <v>357</v>
      </c>
      <c r="M153" s="66">
        <f t="shared" si="53"/>
        <v>12518.06</v>
      </c>
      <c r="N153" s="73">
        <v>12518.06</v>
      </c>
      <c r="O153" s="24"/>
      <c r="P153" s="24"/>
      <c r="Q153" s="24"/>
      <c r="R153" s="24"/>
      <c r="S153" s="86"/>
      <c r="T153" s="103">
        <v>8</v>
      </c>
      <c r="U153" s="73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>
        <v>1</v>
      </c>
      <c r="AG153" s="24">
        <v>1</v>
      </c>
      <c r="AH153" s="24">
        <v>1</v>
      </c>
      <c r="AI153" s="24">
        <v>1</v>
      </c>
      <c r="AJ153" s="24"/>
      <c r="AK153" s="24">
        <v>1</v>
      </c>
      <c r="AL153" s="24">
        <v>1</v>
      </c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74"/>
      <c r="BE153" s="73"/>
      <c r="BF153" s="24"/>
      <c r="BG153" s="24"/>
      <c r="BH153" s="24">
        <v>1</v>
      </c>
      <c r="BI153" s="86"/>
      <c r="BJ153" s="24"/>
      <c r="BK153" s="95"/>
      <c r="BL153" s="73">
        <v>1</v>
      </c>
      <c r="BM153" s="24"/>
      <c r="BN153" s="24"/>
      <c r="BO153" s="24"/>
      <c r="BP153" s="24"/>
      <c r="BQ153" s="24"/>
      <c r="BR153" s="24"/>
      <c r="BS153" s="24"/>
      <c r="BT153" s="74"/>
    </row>
    <row r="154" spans="1:72" s="25" customFormat="1" x14ac:dyDescent="0.25">
      <c r="A154" s="23">
        <v>444</v>
      </c>
      <c r="B154" s="21" t="s">
        <v>2</v>
      </c>
      <c r="C154" s="21" t="s">
        <v>152</v>
      </c>
      <c r="D154" s="148" t="s">
        <v>7</v>
      </c>
      <c r="E154" s="149">
        <v>100000</v>
      </c>
      <c r="F154" s="148" t="s">
        <v>7</v>
      </c>
      <c r="G154" s="149">
        <v>200000</v>
      </c>
      <c r="H154" s="148" t="s">
        <v>4</v>
      </c>
      <c r="I154" s="148" t="s">
        <v>356</v>
      </c>
      <c r="J154" s="148" t="s">
        <v>357</v>
      </c>
      <c r="K154" s="148" t="s">
        <v>357</v>
      </c>
      <c r="L154" s="148" t="s">
        <v>356</v>
      </c>
      <c r="M154" s="66">
        <f t="shared" si="53"/>
        <v>235388.19199999998</v>
      </c>
      <c r="N154" s="73">
        <f>173261.199+52796.77+9330.223</f>
        <v>235388.19199999998</v>
      </c>
      <c r="O154" s="24"/>
      <c r="P154" s="24"/>
      <c r="Q154" s="24"/>
      <c r="R154" s="24"/>
      <c r="S154" s="86"/>
      <c r="T154" s="103"/>
      <c r="U154" s="73"/>
      <c r="V154" s="24"/>
      <c r="W154" s="24"/>
      <c r="X154" s="24"/>
      <c r="Y154" s="24"/>
      <c r="Z154" s="24">
        <v>1</v>
      </c>
      <c r="AA154" s="24">
        <v>1</v>
      </c>
      <c r="AB154" s="24">
        <v>1</v>
      </c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74"/>
      <c r="BE154" s="73"/>
      <c r="BF154" s="24"/>
      <c r="BG154" s="24"/>
      <c r="BH154" s="24">
        <v>1</v>
      </c>
      <c r="BI154" s="86"/>
      <c r="BJ154" s="24"/>
      <c r="BK154" s="95"/>
      <c r="BL154" s="73">
        <v>1</v>
      </c>
      <c r="BM154" s="24"/>
      <c r="BN154" s="24"/>
      <c r="BO154" s="24"/>
      <c r="BP154" s="24"/>
      <c r="BQ154" s="24"/>
      <c r="BR154" s="24"/>
      <c r="BS154" s="24"/>
      <c r="BT154" s="74"/>
    </row>
    <row r="155" spans="1:72" s="25" customFormat="1" x14ac:dyDescent="0.25">
      <c r="A155" s="23">
        <v>445</v>
      </c>
      <c r="B155" s="21" t="s">
        <v>2</v>
      </c>
      <c r="C155" s="21" t="s">
        <v>153</v>
      </c>
      <c r="D155" s="148" t="s">
        <v>7</v>
      </c>
      <c r="E155" s="149">
        <v>100000</v>
      </c>
      <c r="F155" s="148" t="s">
        <v>7</v>
      </c>
      <c r="G155" s="149">
        <v>200000</v>
      </c>
      <c r="H155" s="148" t="s">
        <v>4</v>
      </c>
      <c r="I155" s="148" t="s">
        <v>356</v>
      </c>
      <c r="J155" s="148" t="s">
        <v>357</v>
      </c>
      <c r="K155" s="148" t="s">
        <v>357</v>
      </c>
      <c r="L155" s="148" t="s">
        <v>356</v>
      </c>
      <c r="M155" s="66">
        <f t="shared" si="53"/>
        <v>87418</v>
      </c>
      <c r="N155" s="73"/>
      <c r="O155" s="24"/>
      <c r="P155" s="24">
        <f>183+2931+2987+591+1138+838+540+517+240+408+20587+2522+10941+14364+6141+9673+4776+8041</f>
        <v>87418</v>
      </c>
      <c r="Q155" s="24"/>
      <c r="R155" s="24"/>
      <c r="S155" s="86"/>
      <c r="T155" s="103">
        <v>8</v>
      </c>
      <c r="U155" s="73">
        <v>1</v>
      </c>
      <c r="V155" s="24">
        <v>1</v>
      </c>
      <c r="W155" s="24"/>
      <c r="X155" s="24"/>
      <c r="Y155" s="24"/>
      <c r="Z155" s="24"/>
      <c r="AA155" s="24"/>
      <c r="AB155" s="24">
        <v>1</v>
      </c>
      <c r="AC155" s="24">
        <v>1</v>
      </c>
      <c r="AD155" s="24">
        <v>1</v>
      </c>
      <c r="AE155" s="24">
        <v>1</v>
      </c>
      <c r="AF155" s="24">
        <v>1</v>
      </c>
      <c r="AG155" s="24">
        <v>1</v>
      </c>
      <c r="AH155" s="24">
        <v>1</v>
      </c>
      <c r="AI155" s="24">
        <v>1</v>
      </c>
      <c r="AJ155" s="24">
        <v>1</v>
      </c>
      <c r="AK155" s="24">
        <v>1</v>
      </c>
      <c r="AL155" s="24">
        <v>1</v>
      </c>
      <c r="AM155" s="24"/>
      <c r="AN155" s="24"/>
      <c r="AO155" s="24"/>
      <c r="AP155" s="24"/>
      <c r="AQ155" s="24"/>
      <c r="AR155" s="24"/>
      <c r="AS155" s="24"/>
      <c r="AT155" s="24"/>
      <c r="AU155" s="24">
        <v>1</v>
      </c>
      <c r="AV155" s="24"/>
      <c r="AW155" s="24"/>
      <c r="AX155" s="24"/>
      <c r="AY155" s="24"/>
      <c r="AZ155" s="24"/>
      <c r="BA155" s="24"/>
      <c r="BB155" s="24">
        <v>1</v>
      </c>
      <c r="BC155" s="24"/>
      <c r="BD155" s="74"/>
      <c r="BE155" s="73"/>
      <c r="BF155" s="24"/>
      <c r="BG155" s="24">
        <v>1</v>
      </c>
      <c r="BH155" s="24">
        <v>1</v>
      </c>
      <c r="BI155" s="86"/>
      <c r="BJ155" s="24">
        <v>1</v>
      </c>
      <c r="BK155" s="95"/>
      <c r="BL155" s="73">
        <v>1</v>
      </c>
      <c r="BM155" s="24">
        <v>1</v>
      </c>
      <c r="BN155" s="24"/>
      <c r="BO155" s="24"/>
      <c r="BP155" s="24"/>
      <c r="BQ155" s="24"/>
      <c r="BR155" s="24"/>
      <c r="BS155" s="24"/>
      <c r="BT155" s="74"/>
    </row>
    <row r="156" spans="1:72" s="25" customFormat="1" x14ac:dyDescent="0.25">
      <c r="A156" s="23">
        <v>446</v>
      </c>
      <c r="B156" s="21" t="s">
        <v>2</v>
      </c>
      <c r="C156" s="21" t="s">
        <v>154</v>
      </c>
      <c r="D156" s="148" t="s">
        <v>360</v>
      </c>
      <c r="E156" s="149">
        <v>5000000</v>
      </c>
      <c r="F156" s="148"/>
      <c r="G156" s="148"/>
      <c r="H156" s="148" t="s">
        <v>4</v>
      </c>
      <c r="I156" s="148" t="s">
        <v>356</v>
      </c>
      <c r="J156" s="148" t="s">
        <v>356</v>
      </c>
      <c r="K156" s="148" t="s">
        <v>357</v>
      </c>
      <c r="L156" s="148" t="s">
        <v>357</v>
      </c>
      <c r="M156" s="66">
        <f t="shared" si="53"/>
        <v>283861.7</v>
      </c>
      <c r="N156" s="73">
        <v>283861.7</v>
      </c>
      <c r="O156" s="24"/>
      <c r="P156" s="24"/>
      <c r="Q156" s="24"/>
      <c r="R156" s="24"/>
      <c r="S156" s="86"/>
      <c r="T156" s="103">
        <v>8</v>
      </c>
      <c r="U156" s="73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>
        <v>1</v>
      </c>
      <c r="AX156" s="24"/>
      <c r="AY156" s="24"/>
      <c r="AZ156" s="24"/>
      <c r="BA156" s="24"/>
      <c r="BB156" s="24"/>
      <c r="BC156" s="24"/>
      <c r="BD156" s="74"/>
      <c r="BE156" s="73"/>
      <c r="BF156" s="24"/>
      <c r="BG156" s="24"/>
      <c r="BH156" s="24">
        <v>1</v>
      </c>
      <c r="BI156" s="86"/>
      <c r="BJ156" s="24"/>
      <c r="BK156" s="95"/>
      <c r="BL156" s="73"/>
      <c r="BM156" s="24"/>
      <c r="BN156" s="24"/>
      <c r="BO156" s="24"/>
      <c r="BP156" s="24">
        <v>1</v>
      </c>
      <c r="BQ156" s="24"/>
      <c r="BR156" s="24"/>
      <c r="BS156" s="24"/>
      <c r="BT156" s="74">
        <v>1</v>
      </c>
    </row>
    <row r="157" spans="1:72" s="25" customFormat="1" ht="31.5" x14ac:dyDescent="0.25">
      <c r="A157" s="23">
        <v>447</v>
      </c>
      <c r="B157" s="21" t="s">
        <v>104</v>
      </c>
      <c r="C157" s="21" t="s">
        <v>239</v>
      </c>
      <c r="D157" s="148" t="s">
        <v>7</v>
      </c>
      <c r="E157" s="149">
        <v>100000</v>
      </c>
      <c r="F157" s="148"/>
      <c r="G157" s="148"/>
      <c r="H157" s="148" t="s">
        <v>4</v>
      </c>
      <c r="I157" s="148" t="s">
        <v>356</v>
      </c>
      <c r="J157" s="148" t="s">
        <v>357</v>
      </c>
      <c r="K157" s="148" t="s">
        <v>357</v>
      </c>
      <c r="L157" s="148" t="s">
        <v>357</v>
      </c>
      <c r="M157" s="66">
        <f t="shared" si="53"/>
        <v>66559.702999999994</v>
      </c>
      <c r="N157" s="73">
        <f>26346.38+40213.323</f>
        <v>66559.702999999994</v>
      </c>
      <c r="O157" s="24"/>
      <c r="P157" s="24"/>
      <c r="Q157" s="24"/>
      <c r="R157" s="24"/>
      <c r="S157" s="86"/>
      <c r="T157" s="103">
        <v>8</v>
      </c>
      <c r="U157" s="73"/>
      <c r="V157" s="24"/>
      <c r="W157" s="24"/>
      <c r="X157" s="24"/>
      <c r="Y157" s="24"/>
      <c r="Z157" s="24"/>
      <c r="AA157" s="24">
        <v>1</v>
      </c>
      <c r="AB157" s="24">
        <v>1</v>
      </c>
      <c r="AC157" s="24">
        <v>1</v>
      </c>
      <c r="AD157" s="24"/>
      <c r="AE157" s="24">
        <v>1</v>
      </c>
      <c r="AF157" s="24"/>
      <c r="AG157" s="24">
        <v>1</v>
      </c>
      <c r="AH157" s="24">
        <v>1</v>
      </c>
      <c r="AI157" s="24"/>
      <c r="AJ157" s="24"/>
      <c r="AK157" s="24"/>
      <c r="AL157" s="24"/>
      <c r="AM157" s="24">
        <v>1</v>
      </c>
      <c r="AN157" s="24">
        <v>1</v>
      </c>
      <c r="AO157" s="24">
        <v>1</v>
      </c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74"/>
      <c r="BE157" s="73">
        <v>1</v>
      </c>
      <c r="BF157" s="24"/>
      <c r="BG157" s="24">
        <v>1</v>
      </c>
      <c r="BH157" s="24"/>
      <c r="BI157" s="86"/>
      <c r="BJ157" s="24">
        <v>1</v>
      </c>
      <c r="BK157" s="95"/>
      <c r="BL157" s="73">
        <v>1</v>
      </c>
      <c r="BM157" s="24"/>
      <c r="BN157" s="24"/>
      <c r="BO157" s="24"/>
      <c r="BP157" s="24"/>
      <c r="BQ157" s="24"/>
      <c r="BR157" s="24"/>
      <c r="BS157" s="24"/>
      <c r="BT157" s="74">
        <v>1</v>
      </c>
    </row>
    <row r="158" spans="1:72" s="142" customFormat="1" x14ac:dyDescent="0.25">
      <c r="A158" s="133">
        <v>448</v>
      </c>
      <c r="B158" s="134" t="s">
        <v>2</v>
      </c>
      <c r="C158" s="134" t="s">
        <v>155</v>
      </c>
      <c r="D158" s="154" t="s">
        <v>7</v>
      </c>
      <c r="E158" s="155">
        <v>100000</v>
      </c>
      <c r="F158" s="154"/>
      <c r="G158" s="154"/>
      <c r="H158" s="154" t="s">
        <v>359</v>
      </c>
      <c r="I158" s="154" t="s">
        <v>356</v>
      </c>
      <c r="J158" s="154" t="s">
        <v>356</v>
      </c>
      <c r="K158" s="154" t="s">
        <v>357</v>
      </c>
      <c r="L158" s="154" t="s">
        <v>357</v>
      </c>
      <c r="M158" s="135">
        <f t="shared" si="53"/>
        <v>0</v>
      </c>
      <c r="N158" s="136"/>
      <c r="O158" s="137"/>
      <c r="P158" s="137"/>
      <c r="Q158" s="137"/>
      <c r="R158" s="137"/>
      <c r="S158" s="138"/>
      <c r="T158" s="139"/>
      <c r="U158" s="136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40"/>
      <c r="BE158" s="136"/>
      <c r="BF158" s="137"/>
      <c r="BG158" s="137"/>
      <c r="BH158" s="137"/>
      <c r="BI158" s="138"/>
      <c r="BJ158" s="137"/>
      <c r="BK158" s="141"/>
      <c r="BL158" s="136"/>
      <c r="BM158" s="137"/>
      <c r="BN158" s="137"/>
      <c r="BO158" s="137"/>
      <c r="BP158" s="137"/>
      <c r="BQ158" s="137"/>
      <c r="BR158" s="137"/>
      <c r="BS158" s="137"/>
      <c r="BT158" s="140"/>
    </row>
    <row r="159" spans="1:72" s="25" customFormat="1" x14ac:dyDescent="0.25">
      <c r="A159" s="23">
        <v>449</v>
      </c>
      <c r="B159" s="21" t="s">
        <v>2</v>
      </c>
      <c r="C159" s="21" t="s">
        <v>240</v>
      </c>
      <c r="D159" s="148" t="s">
        <v>7</v>
      </c>
      <c r="E159" s="149">
        <v>100000</v>
      </c>
      <c r="F159" s="148"/>
      <c r="G159" s="148"/>
      <c r="H159" s="148" t="s">
        <v>4</v>
      </c>
      <c r="I159" s="148" t="s">
        <v>356</v>
      </c>
      <c r="J159" s="148" t="s">
        <v>357</v>
      </c>
      <c r="K159" s="148" t="s">
        <v>357</v>
      </c>
      <c r="L159" s="148" t="s">
        <v>357</v>
      </c>
      <c r="M159" s="66">
        <f t="shared" si="53"/>
        <v>0</v>
      </c>
      <c r="N159" s="73"/>
      <c r="O159" s="24"/>
      <c r="P159" s="24"/>
      <c r="Q159" s="24"/>
      <c r="R159" s="24"/>
      <c r="S159" s="86"/>
      <c r="T159" s="103"/>
      <c r="U159" s="73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74"/>
      <c r="BE159" s="73"/>
      <c r="BF159" s="24"/>
      <c r="BG159" s="24"/>
      <c r="BH159" s="24"/>
      <c r="BI159" s="86"/>
      <c r="BJ159" s="24"/>
      <c r="BK159" s="95">
        <v>1</v>
      </c>
      <c r="BL159" s="73">
        <v>1</v>
      </c>
      <c r="BM159" s="24"/>
      <c r="BN159" s="24"/>
      <c r="BO159" s="24"/>
      <c r="BP159" s="24"/>
      <c r="BQ159" s="24"/>
      <c r="BR159" s="24"/>
      <c r="BS159" s="24"/>
      <c r="BT159" s="74"/>
    </row>
    <row r="160" spans="1:72" s="25" customFormat="1" x14ac:dyDescent="0.25">
      <c r="A160" s="23">
        <v>450</v>
      </c>
      <c r="B160" s="21" t="s">
        <v>2</v>
      </c>
      <c r="C160" s="21" t="s">
        <v>241</v>
      </c>
      <c r="D160" s="148" t="s">
        <v>7</v>
      </c>
      <c r="E160" s="149">
        <v>100000</v>
      </c>
      <c r="F160" s="148"/>
      <c r="G160" s="148"/>
      <c r="H160" s="148" t="s">
        <v>4</v>
      </c>
      <c r="I160" s="148" t="s">
        <v>356</v>
      </c>
      <c r="J160" s="148" t="s">
        <v>357</v>
      </c>
      <c r="K160" s="148" t="s">
        <v>357</v>
      </c>
      <c r="L160" s="148" t="s">
        <v>357</v>
      </c>
      <c r="M160" s="66">
        <f t="shared" si="53"/>
        <v>16000</v>
      </c>
      <c r="N160" s="73"/>
      <c r="O160" s="24"/>
      <c r="P160" s="24"/>
      <c r="Q160" s="24"/>
      <c r="R160" s="24">
        <v>16000</v>
      </c>
      <c r="S160" s="86"/>
      <c r="T160" s="103">
        <v>8</v>
      </c>
      <c r="U160" s="73"/>
      <c r="V160" s="24">
        <v>1</v>
      </c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>
        <v>1</v>
      </c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74"/>
      <c r="BE160" s="73"/>
      <c r="BF160" s="24"/>
      <c r="BG160" s="24">
        <v>1</v>
      </c>
      <c r="BH160" s="24"/>
      <c r="BI160" s="86"/>
      <c r="BJ160" s="24">
        <v>1</v>
      </c>
      <c r="BK160" s="95"/>
      <c r="BL160" s="73"/>
      <c r="BM160" s="24"/>
      <c r="BN160" s="24"/>
      <c r="BO160" s="24"/>
      <c r="BP160" s="24">
        <v>1</v>
      </c>
      <c r="BQ160" s="24"/>
      <c r="BR160" s="24"/>
      <c r="BS160" s="24"/>
      <c r="BT160" s="74"/>
    </row>
    <row r="161" spans="1:72" s="25" customFormat="1" ht="31.5" x14ac:dyDescent="0.25">
      <c r="A161" s="23">
        <v>451</v>
      </c>
      <c r="B161" s="21" t="s">
        <v>2</v>
      </c>
      <c r="C161" s="21" t="s">
        <v>242</v>
      </c>
      <c r="D161" s="148" t="s">
        <v>7</v>
      </c>
      <c r="E161" s="149">
        <v>100000</v>
      </c>
      <c r="F161" s="148"/>
      <c r="G161" s="148"/>
      <c r="H161" s="148" t="s">
        <v>4</v>
      </c>
      <c r="I161" s="148" t="s">
        <v>356</v>
      </c>
      <c r="J161" s="148" t="s">
        <v>357</v>
      </c>
      <c r="K161" s="148" t="s">
        <v>357</v>
      </c>
      <c r="L161" s="148" t="s">
        <v>357</v>
      </c>
      <c r="M161" s="66">
        <f t="shared" si="53"/>
        <v>0</v>
      </c>
      <c r="N161" s="73"/>
      <c r="O161" s="24"/>
      <c r="P161" s="24"/>
      <c r="Q161" s="24"/>
      <c r="R161" s="24"/>
      <c r="S161" s="86"/>
      <c r="T161" s="103"/>
      <c r="U161" s="73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74"/>
      <c r="BE161" s="73"/>
      <c r="BF161" s="24"/>
      <c r="BG161" s="24"/>
      <c r="BH161" s="24">
        <v>1</v>
      </c>
      <c r="BI161" s="86"/>
      <c r="BJ161" s="24"/>
      <c r="BK161" s="95"/>
      <c r="BL161" s="73">
        <v>1</v>
      </c>
      <c r="BM161" s="24"/>
      <c r="BN161" s="24"/>
      <c r="BO161" s="24"/>
      <c r="BP161" s="24"/>
      <c r="BQ161" s="24"/>
      <c r="BR161" s="24"/>
      <c r="BS161" s="24"/>
      <c r="BT161" s="74"/>
    </row>
    <row r="162" spans="1:72" s="25" customFormat="1" ht="19.5" customHeight="1" x14ac:dyDescent="0.25">
      <c r="A162" s="23">
        <v>452</v>
      </c>
      <c r="B162" s="21" t="s">
        <v>2</v>
      </c>
      <c r="C162" s="21" t="s">
        <v>243</v>
      </c>
      <c r="D162" s="148" t="s">
        <v>7</v>
      </c>
      <c r="E162" s="149">
        <v>100000</v>
      </c>
      <c r="F162" s="148" t="s">
        <v>7</v>
      </c>
      <c r="G162" s="149">
        <v>200000</v>
      </c>
      <c r="H162" s="148" t="s">
        <v>4</v>
      </c>
      <c r="I162" s="148" t="s">
        <v>356</v>
      </c>
      <c r="J162" s="148" t="s">
        <v>357</v>
      </c>
      <c r="K162" s="148" t="s">
        <v>357</v>
      </c>
      <c r="L162" s="148" t="s">
        <v>356</v>
      </c>
      <c r="M162" s="66">
        <f t="shared" si="53"/>
        <v>0</v>
      </c>
      <c r="N162" s="73"/>
      <c r="O162" s="24"/>
      <c r="P162" s="24"/>
      <c r="Q162" s="24"/>
      <c r="R162" s="24"/>
      <c r="S162" s="86"/>
      <c r="T162" s="103"/>
      <c r="U162" s="73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74"/>
      <c r="BE162" s="73"/>
      <c r="BF162" s="24"/>
      <c r="BG162" s="24"/>
      <c r="BH162" s="24">
        <v>1</v>
      </c>
      <c r="BI162" s="86"/>
      <c r="BJ162" s="24"/>
      <c r="BK162" s="95"/>
      <c r="BL162" s="73"/>
      <c r="BM162" s="24"/>
      <c r="BN162" s="24"/>
      <c r="BO162" s="24"/>
      <c r="BP162" s="24"/>
      <c r="BQ162" s="24"/>
      <c r="BR162" s="24"/>
      <c r="BS162" s="24"/>
      <c r="BT162" s="74">
        <v>1</v>
      </c>
    </row>
    <row r="163" spans="1:72" s="25" customFormat="1" ht="18" customHeight="1" thickBot="1" x14ac:dyDescent="0.3">
      <c r="A163" s="23">
        <v>453</v>
      </c>
      <c r="B163" s="21" t="s">
        <v>2</v>
      </c>
      <c r="C163" s="21" t="s">
        <v>244</v>
      </c>
      <c r="D163" s="148" t="s">
        <v>7</v>
      </c>
      <c r="E163" s="149">
        <v>100000</v>
      </c>
      <c r="F163" s="148" t="s">
        <v>7</v>
      </c>
      <c r="G163" s="149">
        <v>200000</v>
      </c>
      <c r="H163" s="148" t="s">
        <v>4</v>
      </c>
      <c r="I163" s="148" t="s">
        <v>356</v>
      </c>
      <c r="J163" s="148" t="s">
        <v>357</v>
      </c>
      <c r="K163" s="148" t="s">
        <v>357</v>
      </c>
      <c r="L163" s="148" t="s">
        <v>356</v>
      </c>
      <c r="M163" s="66">
        <f t="shared" si="53"/>
        <v>0</v>
      </c>
      <c r="N163" s="105"/>
      <c r="O163" s="106"/>
      <c r="P163" s="106"/>
      <c r="Q163" s="106"/>
      <c r="R163" s="106"/>
      <c r="S163" s="107"/>
      <c r="T163" s="108"/>
      <c r="U163" s="105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  <c r="AG163" s="106"/>
      <c r="AH163" s="106"/>
      <c r="AI163" s="106"/>
      <c r="AJ163" s="106"/>
      <c r="AK163" s="106"/>
      <c r="AL163" s="106"/>
      <c r="AM163" s="106"/>
      <c r="AN163" s="106"/>
      <c r="AO163" s="106"/>
      <c r="AP163" s="106"/>
      <c r="AQ163" s="106"/>
      <c r="AR163" s="106"/>
      <c r="AS163" s="106"/>
      <c r="AT163" s="106"/>
      <c r="AU163" s="106"/>
      <c r="AV163" s="106"/>
      <c r="AW163" s="106"/>
      <c r="AX163" s="106"/>
      <c r="AY163" s="106"/>
      <c r="AZ163" s="106"/>
      <c r="BA163" s="106"/>
      <c r="BB163" s="106"/>
      <c r="BC163" s="106"/>
      <c r="BD163" s="109"/>
      <c r="BE163" s="105">
        <v>1</v>
      </c>
      <c r="BF163" s="106"/>
      <c r="BG163" s="106"/>
      <c r="BH163" s="106">
        <v>1</v>
      </c>
      <c r="BI163" s="107"/>
      <c r="BJ163" s="106"/>
      <c r="BK163" s="110">
        <v>1</v>
      </c>
      <c r="BL163" s="105">
        <v>1</v>
      </c>
      <c r="BM163" s="106">
        <v>1</v>
      </c>
      <c r="BN163" s="106"/>
      <c r="BO163" s="106"/>
      <c r="BP163" s="106"/>
      <c r="BQ163" s="106"/>
      <c r="BR163" s="106"/>
      <c r="BS163" s="106">
        <v>1</v>
      </c>
      <c r="BT163" s="109"/>
    </row>
    <row r="165" spans="1:72" x14ac:dyDescent="0.25">
      <c r="N165" s="125"/>
      <c r="O165" s="125"/>
    </row>
    <row r="166" spans="1:72" ht="53.25" customHeight="1" x14ac:dyDescent="0.25">
      <c r="M166" s="124"/>
    </row>
    <row r="167" spans="1:72" x14ac:dyDescent="0.25">
      <c r="N167" s="124"/>
      <c r="O167" s="124"/>
      <c r="P167" s="124"/>
      <c r="Q167" s="124"/>
      <c r="R167" s="124"/>
    </row>
  </sheetData>
  <autoFilter ref="A3:BT164"/>
  <mergeCells count="1">
    <mergeCell ref="C1:T1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7"/>
  <sheetViews>
    <sheetView workbookViewId="0">
      <selection activeCell="O1" sqref="O1:O49"/>
    </sheetView>
  </sheetViews>
  <sheetFormatPr defaultRowHeight="11.25" x14ac:dyDescent="0.2"/>
  <cols>
    <col min="1" max="1" width="12.83203125" customWidth="1"/>
    <col min="2" max="2" width="13.6640625" customWidth="1"/>
    <col min="4" max="4" width="12.6640625" customWidth="1"/>
    <col min="6" max="6" width="20" customWidth="1"/>
    <col min="7" max="7" width="13.6640625" customWidth="1"/>
    <col min="8" max="8" width="12.33203125" customWidth="1"/>
    <col min="9" max="9" width="13.5" customWidth="1"/>
    <col min="10" max="11" width="13.83203125" customWidth="1"/>
    <col min="12" max="12" width="11.33203125" customWidth="1"/>
    <col min="13" max="13" width="14.1640625" customWidth="1"/>
    <col min="16" max="16" width="18.5" customWidth="1"/>
    <col min="19" max="19" width="14.6640625" customWidth="1"/>
    <col min="20" max="20" width="22.33203125" customWidth="1"/>
    <col min="22" max="22" width="13.83203125" customWidth="1"/>
    <col min="25" max="25" width="10.83203125" customWidth="1"/>
  </cols>
  <sheetData>
    <row r="1" spans="1:28" ht="15.75" x14ac:dyDescent="0.25">
      <c r="A1" s="73">
        <v>19360019.370000001</v>
      </c>
      <c r="B1" s="24"/>
      <c r="C1" s="24">
        <v>67453.42</v>
      </c>
      <c r="D1" s="24"/>
      <c r="E1" s="127"/>
      <c r="F1" s="129"/>
      <c r="G1" s="73">
        <v>41000</v>
      </c>
      <c r="H1" s="126"/>
      <c r="I1" s="24"/>
      <c r="J1" s="126"/>
      <c r="K1" s="24"/>
      <c r="L1" s="126"/>
      <c r="M1" s="126"/>
      <c r="N1" s="127"/>
      <c r="O1" s="86"/>
      <c r="P1" s="126"/>
      <c r="Q1" s="126"/>
      <c r="R1" s="127"/>
      <c r="S1" s="126"/>
      <c r="T1" s="126"/>
      <c r="U1" s="127"/>
      <c r="V1" s="126"/>
      <c r="W1" s="127"/>
      <c r="X1" s="127"/>
      <c r="Y1" s="126"/>
      <c r="Z1" s="127"/>
      <c r="AA1" s="127"/>
      <c r="AB1" s="127"/>
    </row>
    <row r="2" spans="1:28" ht="15.75" x14ac:dyDescent="0.25">
      <c r="A2" s="73">
        <v>24292625.119999997</v>
      </c>
      <c r="B2" s="24">
        <v>251024.99</v>
      </c>
      <c r="C2" s="24"/>
      <c r="D2" s="24">
        <v>8653881.6699999999</v>
      </c>
      <c r="E2" s="127"/>
      <c r="F2" s="127"/>
      <c r="G2" s="73"/>
      <c r="H2" s="126"/>
      <c r="I2" s="24">
        <v>42272</v>
      </c>
      <c r="J2" s="126"/>
      <c r="K2" s="24"/>
      <c r="L2" s="126"/>
      <c r="M2" s="126"/>
      <c r="N2" s="127"/>
      <c r="O2" s="86"/>
      <c r="P2" s="126"/>
      <c r="Q2" s="126"/>
      <c r="R2" s="127"/>
      <c r="S2" s="126"/>
      <c r="T2" s="126"/>
      <c r="U2" s="127"/>
      <c r="V2" s="126"/>
      <c r="W2" s="127"/>
      <c r="X2" s="127"/>
      <c r="Y2" s="126"/>
      <c r="Z2" s="127"/>
      <c r="AA2" s="127"/>
      <c r="AB2" s="127"/>
    </row>
    <row r="3" spans="1:28" ht="15.75" x14ac:dyDescent="0.25">
      <c r="A3" s="73"/>
      <c r="B3" s="24">
        <v>4512455.5279999999</v>
      </c>
      <c r="C3" s="24"/>
      <c r="D3" s="24"/>
      <c r="E3" s="127"/>
      <c r="F3" s="127"/>
      <c r="G3" s="73">
        <v>1924236</v>
      </c>
      <c r="H3" s="126"/>
      <c r="I3" s="24">
        <v>8654</v>
      </c>
      <c r="J3" s="126"/>
      <c r="K3" s="24"/>
      <c r="L3" s="126"/>
      <c r="M3" s="126"/>
      <c r="N3" s="127"/>
      <c r="O3" s="86"/>
      <c r="P3" s="126"/>
      <c r="Q3" s="126"/>
      <c r="R3" s="127"/>
      <c r="S3" s="126"/>
      <c r="T3" s="126"/>
      <c r="U3" s="127"/>
      <c r="V3" s="126"/>
      <c r="W3" s="127"/>
      <c r="X3" s="127"/>
      <c r="Y3" s="126"/>
      <c r="Z3" s="127"/>
      <c r="AA3" s="127"/>
      <c r="AB3" s="127"/>
    </row>
    <row r="4" spans="1:28" ht="15.75" x14ac:dyDescent="0.25">
      <c r="A4" s="73"/>
      <c r="B4" s="24"/>
      <c r="C4" s="24"/>
      <c r="D4" s="24">
        <v>12865737.766619999</v>
      </c>
      <c r="E4" s="128"/>
      <c r="F4" s="128"/>
      <c r="G4" s="73">
        <v>5660</v>
      </c>
      <c r="H4" s="126"/>
      <c r="I4" s="24"/>
      <c r="J4" s="126"/>
      <c r="K4" s="24">
        <v>21262</v>
      </c>
      <c r="L4" s="126"/>
      <c r="M4" s="126"/>
      <c r="N4" s="127"/>
      <c r="O4" s="86"/>
      <c r="P4" s="126"/>
      <c r="Q4" s="126"/>
      <c r="R4" s="127"/>
      <c r="S4" s="126"/>
      <c r="T4" s="126"/>
      <c r="U4" s="127"/>
      <c r="V4" s="126"/>
      <c r="W4" s="127"/>
      <c r="X4" s="127"/>
      <c r="Y4" s="126"/>
      <c r="Z4" s="127"/>
      <c r="AA4" s="127"/>
      <c r="AB4" s="127"/>
    </row>
    <row r="5" spans="1:28" ht="15.75" x14ac:dyDescent="0.25">
      <c r="A5" s="73">
        <v>15373048</v>
      </c>
      <c r="B5" s="24"/>
      <c r="C5" s="24">
        <v>87713</v>
      </c>
      <c r="D5" s="24"/>
      <c r="E5" s="127"/>
      <c r="F5" s="127"/>
      <c r="G5" s="73"/>
      <c r="H5" s="126"/>
      <c r="I5" s="24"/>
      <c r="J5" s="126"/>
      <c r="K5" s="24"/>
      <c r="L5" s="126"/>
      <c r="M5" s="126"/>
      <c r="N5" s="127"/>
      <c r="O5" s="86"/>
      <c r="P5" s="126"/>
      <c r="Q5" s="126"/>
      <c r="R5" s="127"/>
      <c r="S5" s="126"/>
      <c r="T5" s="126"/>
      <c r="U5" s="127"/>
      <c r="V5" s="126"/>
      <c r="W5" s="127"/>
      <c r="X5" s="127"/>
      <c r="Y5" s="126"/>
      <c r="Z5" s="127"/>
      <c r="AA5" s="127"/>
      <c r="AB5" s="127"/>
    </row>
    <row r="6" spans="1:28" ht="15.75" x14ac:dyDescent="0.25">
      <c r="A6" s="126">
        <f>SUM(A1:A5)</f>
        <v>59025692.489999995</v>
      </c>
      <c r="B6" s="126">
        <f>SUM(B1:B5)</f>
        <v>4763480.5180000002</v>
      </c>
      <c r="C6" s="126">
        <f>SUM(C1:C5)</f>
        <v>155166.41999999998</v>
      </c>
      <c r="D6" s="126"/>
      <c r="E6" s="127"/>
      <c r="F6" s="127"/>
      <c r="G6" s="73"/>
      <c r="H6" s="126"/>
      <c r="I6" s="24"/>
      <c r="J6" s="126"/>
      <c r="K6" s="24">
        <v>400980.1</v>
      </c>
      <c r="L6" s="126"/>
      <c r="M6" s="126"/>
      <c r="N6" s="127"/>
      <c r="O6" s="86"/>
      <c r="P6" s="126"/>
      <c r="Q6" s="126"/>
      <c r="R6" s="127"/>
      <c r="S6" s="126"/>
      <c r="T6" s="126"/>
      <c r="U6" s="127"/>
      <c r="V6" s="126"/>
      <c r="W6" s="127"/>
      <c r="X6" s="127"/>
      <c r="Y6" s="126"/>
      <c r="Z6" s="127"/>
      <c r="AA6" s="127"/>
      <c r="AB6" s="127"/>
    </row>
    <row r="7" spans="1:28" ht="15.75" x14ac:dyDescent="0.25">
      <c r="A7" s="126"/>
      <c r="B7" s="126"/>
      <c r="C7" s="126"/>
      <c r="D7" s="128"/>
      <c r="E7" s="127"/>
      <c r="F7" s="127"/>
      <c r="G7" s="73"/>
      <c r="H7" s="126"/>
      <c r="I7" s="24"/>
      <c r="J7" s="126"/>
      <c r="K7" s="24"/>
      <c r="L7" s="126"/>
      <c r="M7" s="126"/>
      <c r="N7" s="127"/>
      <c r="O7" s="86">
        <v>46598</v>
      </c>
      <c r="P7" s="126"/>
      <c r="Q7" s="126"/>
      <c r="R7" s="127"/>
      <c r="S7" s="126"/>
      <c r="T7" s="126"/>
      <c r="U7" s="127"/>
      <c r="V7" s="126"/>
      <c r="W7" s="127"/>
      <c r="X7" s="127"/>
      <c r="Y7" s="126"/>
      <c r="Z7" s="127"/>
      <c r="AA7" s="127"/>
      <c r="AB7" s="127"/>
    </row>
    <row r="8" spans="1:28" ht="15.75" x14ac:dyDescent="0.25">
      <c r="A8" s="126"/>
      <c r="B8" s="126"/>
      <c r="C8" s="126"/>
      <c r="D8" s="127"/>
      <c r="E8" s="127"/>
      <c r="F8" s="127"/>
      <c r="G8" s="73"/>
      <c r="H8" s="126"/>
      <c r="I8" s="24"/>
      <c r="J8" s="126"/>
      <c r="K8" s="24"/>
      <c r="L8" s="126"/>
      <c r="M8" s="126"/>
      <c r="N8" s="127"/>
      <c r="O8" s="86"/>
      <c r="P8" s="126"/>
      <c r="Q8" s="126"/>
      <c r="R8" s="127"/>
      <c r="S8" s="126"/>
      <c r="T8" s="126"/>
      <c r="U8" s="127"/>
      <c r="V8" s="126"/>
      <c r="W8" s="127"/>
      <c r="X8" s="127"/>
      <c r="Y8" s="126"/>
      <c r="Z8" s="127"/>
      <c r="AA8" s="127"/>
      <c r="AB8" s="127"/>
    </row>
    <row r="9" spans="1:28" ht="15.75" x14ac:dyDescent="0.25">
      <c r="A9" s="126"/>
      <c r="B9" s="126"/>
      <c r="C9" s="126"/>
      <c r="D9" s="127"/>
      <c r="E9" s="127"/>
      <c r="F9" s="127"/>
      <c r="G9" s="73">
        <v>1107.6500000000001</v>
      </c>
      <c r="H9" s="126"/>
      <c r="I9" s="24">
        <v>4055.27</v>
      </c>
      <c r="J9" s="126"/>
      <c r="K9" s="24">
        <v>899.04</v>
      </c>
      <c r="L9" s="126"/>
      <c r="M9" s="126"/>
      <c r="N9" s="127"/>
      <c r="O9" s="86"/>
      <c r="P9" s="126"/>
      <c r="Q9" s="126"/>
      <c r="R9" s="127"/>
      <c r="S9" s="126"/>
      <c r="T9" s="126"/>
      <c r="U9" s="127"/>
      <c r="V9" s="126"/>
      <c r="W9" s="127"/>
      <c r="X9" s="127"/>
      <c r="Y9" s="126"/>
      <c r="Z9" s="127"/>
      <c r="AA9" s="127"/>
      <c r="AB9" s="127"/>
    </row>
    <row r="10" spans="1:28" ht="15.75" x14ac:dyDescent="0.25">
      <c r="A10" s="126"/>
      <c r="B10" s="126"/>
      <c r="C10" s="126"/>
      <c r="D10" s="127"/>
      <c r="E10" s="127"/>
      <c r="F10" s="127"/>
      <c r="G10" s="73"/>
      <c r="H10" s="126"/>
      <c r="I10" s="24"/>
      <c r="J10" s="126"/>
      <c r="K10" s="24"/>
      <c r="L10" s="126"/>
      <c r="M10" s="126"/>
      <c r="N10" s="127"/>
      <c r="O10" s="86"/>
      <c r="P10" s="126"/>
      <c r="Q10" s="126"/>
      <c r="R10" s="127"/>
      <c r="S10" s="126"/>
      <c r="T10" s="126"/>
      <c r="U10" s="127"/>
      <c r="V10" s="126"/>
      <c r="W10" s="127"/>
      <c r="X10" s="127"/>
      <c r="Y10" s="126"/>
      <c r="Z10" s="127"/>
      <c r="AA10" s="127"/>
      <c r="AB10" s="127"/>
    </row>
    <row r="11" spans="1:28" ht="15.75" x14ac:dyDescent="0.25">
      <c r="A11" s="126"/>
      <c r="B11" s="126"/>
      <c r="C11" s="126"/>
      <c r="D11" s="127"/>
      <c r="E11" s="127"/>
      <c r="F11" s="127"/>
      <c r="G11" s="73"/>
      <c r="H11" s="126"/>
      <c r="I11" s="24"/>
      <c r="J11" s="126"/>
      <c r="K11" s="24">
        <v>74881</v>
      </c>
      <c r="L11" s="126"/>
      <c r="M11" s="126"/>
      <c r="N11" s="127"/>
      <c r="O11" s="86"/>
      <c r="P11" s="126"/>
      <c r="Q11" s="126"/>
      <c r="R11" s="127"/>
      <c r="S11" s="126"/>
      <c r="T11" s="126"/>
      <c r="U11" s="127"/>
      <c r="V11" s="126"/>
      <c r="W11" s="127"/>
      <c r="X11" s="127"/>
      <c r="Y11" s="126"/>
      <c r="Z11" s="127"/>
      <c r="AA11" s="127"/>
      <c r="AB11" s="127"/>
    </row>
    <row r="12" spans="1:28" ht="15.75" x14ac:dyDescent="0.25">
      <c r="A12" s="126"/>
      <c r="B12" s="126"/>
      <c r="C12" s="128"/>
      <c r="D12" s="127"/>
      <c r="E12" s="127"/>
      <c r="F12" s="127"/>
      <c r="G12" s="73">
        <v>219744</v>
      </c>
      <c r="H12" s="126"/>
      <c r="I12" s="24"/>
      <c r="J12" s="126"/>
      <c r="K12" s="24"/>
      <c r="L12" s="126"/>
      <c r="M12" s="126"/>
      <c r="N12" s="127"/>
      <c r="O12" s="86"/>
      <c r="P12" s="126"/>
      <c r="Q12" s="126"/>
      <c r="R12" s="127"/>
      <c r="S12" s="126"/>
      <c r="T12" s="127"/>
      <c r="U12" s="127"/>
      <c r="V12" s="126"/>
      <c r="W12" s="127"/>
      <c r="X12" s="127"/>
      <c r="Y12" s="126"/>
      <c r="Z12" s="127"/>
      <c r="AA12" s="127"/>
      <c r="AB12" s="127"/>
    </row>
    <row r="13" spans="1:28" ht="15.75" x14ac:dyDescent="0.25">
      <c r="A13" s="126"/>
      <c r="B13" s="126"/>
      <c r="C13" s="127"/>
      <c r="D13" s="127"/>
      <c r="E13" s="127"/>
      <c r="F13" s="127"/>
      <c r="G13" s="73">
        <v>681375.25</v>
      </c>
      <c r="H13" s="126"/>
      <c r="I13" s="24"/>
      <c r="J13" s="126"/>
      <c r="K13" s="24"/>
      <c r="L13" s="126"/>
      <c r="M13" s="126"/>
      <c r="N13" s="127"/>
      <c r="O13" s="86"/>
      <c r="P13" s="126"/>
      <c r="Q13" s="126"/>
      <c r="R13" s="127"/>
      <c r="S13" s="126"/>
      <c r="T13" s="127"/>
      <c r="U13" s="127"/>
      <c r="V13" s="126"/>
      <c r="W13" s="127"/>
      <c r="X13" s="127"/>
      <c r="Y13" s="126"/>
      <c r="Z13" s="127"/>
      <c r="AA13" s="127"/>
      <c r="AB13" s="127"/>
    </row>
    <row r="14" spans="1:28" ht="15.75" x14ac:dyDescent="0.25">
      <c r="A14" s="126"/>
      <c r="B14" s="126"/>
      <c r="C14" s="127"/>
      <c r="D14" s="127"/>
      <c r="E14" s="127"/>
      <c r="F14" s="127"/>
      <c r="G14" s="73">
        <v>104510.06926999999</v>
      </c>
      <c r="H14" s="126"/>
      <c r="I14" s="24"/>
      <c r="J14" s="126"/>
      <c r="K14" s="24">
        <v>950</v>
      </c>
      <c r="L14" s="126"/>
      <c r="M14" s="126"/>
      <c r="N14" s="127"/>
      <c r="O14" s="86"/>
      <c r="P14" s="126"/>
      <c r="Q14" s="126"/>
      <c r="R14" s="127"/>
      <c r="S14" s="126"/>
      <c r="T14" s="127"/>
      <c r="U14" s="127"/>
      <c r="V14" s="126"/>
      <c r="W14" s="127"/>
      <c r="X14" s="127"/>
      <c r="Y14" s="126"/>
      <c r="Z14" s="127"/>
      <c r="AA14" s="127"/>
      <c r="AB14" s="127"/>
    </row>
    <row r="15" spans="1:28" ht="15.75" x14ac:dyDescent="0.25">
      <c r="A15" s="126"/>
      <c r="B15" s="126"/>
      <c r="C15" s="127"/>
      <c r="D15" s="127"/>
      <c r="E15" s="127"/>
      <c r="F15" s="127"/>
      <c r="G15" s="73"/>
      <c r="H15" s="126"/>
      <c r="I15" s="24"/>
      <c r="J15" s="126"/>
      <c r="K15" s="24">
        <v>57000</v>
      </c>
      <c r="L15" s="126"/>
      <c r="M15" s="126"/>
      <c r="N15" s="127"/>
      <c r="O15" s="86"/>
      <c r="P15" s="126"/>
      <c r="Q15" s="126"/>
      <c r="R15" s="127"/>
      <c r="S15" s="126"/>
      <c r="T15" s="127"/>
      <c r="U15" s="127"/>
      <c r="V15" s="126"/>
      <c r="W15" s="127"/>
      <c r="X15" s="127"/>
      <c r="Y15" s="126"/>
      <c r="Z15" s="127"/>
      <c r="AA15" s="127"/>
      <c r="AB15" s="127"/>
    </row>
    <row r="16" spans="1:28" ht="15.75" x14ac:dyDescent="0.25">
      <c r="A16" s="126"/>
      <c r="B16" s="126"/>
      <c r="C16" s="127"/>
      <c r="D16" s="127"/>
      <c r="E16" s="127"/>
      <c r="F16" s="127"/>
      <c r="G16" s="73"/>
      <c r="H16" s="126"/>
      <c r="I16" s="24"/>
      <c r="J16" s="126"/>
      <c r="K16" s="24">
        <v>15000</v>
      </c>
      <c r="L16" s="126"/>
      <c r="M16" s="126"/>
      <c r="N16" s="127"/>
      <c r="O16" s="86"/>
      <c r="P16" s="126"/>
      <c r="Q16" s="126"/>
      <c r="R16" s="127"/>
      <c r="S16" s="126"/>
      <c r="T16" s="127"/>
      <c r="U16" s="127"/>
      <c r="V16" s="126"/>
      <c r="W16" s="127"/>
      <c r="X16" s="127"/>
      <c r="Y16" s="126"/>
      <c r="Z16" s="127"/>
      <c r="AA16" s="127"/>
      <c r="AB16" s="127"/>
    </row>
    <row r="17" spans="1:28" ht="15.75" x14ac:dyDescent="0.25">
      <c r="A17" s="126"/>
      <c r="B17" s="126"/>
      <c r="C17" s="127"/>
      <c r="D17" s="127"/>
      <c r="E17" s="127"/>
      <c r="F17" s="127"/>
      <c r="G17" s="73"/>
      <c r="H17" s="126"/>
      <c r="I17" s="24"/>
      <c r="J17" s="126"/>
      <c r="K17" s="24"/>
      <c r="L17" s="126"/>
      <c r="M17" s="126"/>
      <c r="N17" s="127"/>
      <c r="O17" s="86"/>
      <c r="P17" s="126"/>
      <c r="Q17" s="126"/>
      <c r="R17" s="127"/>
      <c r="S17" s="126"/>
      <c r="T17" s="127"/>
      <c r="U17" s="127"/>
      <c r="V17" s="126"/>
      <c r="W17" s="127"/>
      <c r="X17" s="127"/>
      <c r="Y17" s="126"/>
      <c r="Z17" s="127"/>
      <c r="AA17" s="127"/>
      <c r="AB17" s="127"/>
    </row>
    <row r="18" spans="1:28" ht="15.75" x14ac:dyDescent="0.25">
      <c r="A18" s="126"/>
      <c r="B18" s="126"/>
      <c r="C18" s="127"/>
      <c r="D18" s="127"/>
      <c r="E18" s="127"/>
      <c r="F18" s="127"/>
      <c r="G18" s="73"/>
      <c r="H18" s="126"/>
      <c r="I18" s="24">
        <v>273289.38100000005</v>
      </c>
      <c r="J18" s="126"/>
      <c r="K18" s="24"/>
      <c r="L18" s="126"/>
      <c r="M18" s="126"/>
      <c r="N18" s="127"/>
      <c r="O18" s="86"/>
      <c r="P18" s="126"/>
      <c r="Q18" s="126"/>
      <c r="R18" s="127"/>
      <c r="S18" s="126"/>
      <c r="T18" s="127"/>
      <c r="U18" s="127"/>
      <c r="V18" s="126"/>
      <c r="W18" s="127"/>
      <c r="X18" s="127"/>
      <c r="Y18" s="126"/>
      <c r="Z18" s="127"/>
      <c r="AA18" s="127"/>
      <c r="AB18" s="127"/>
    </row>
    <row r="19" spans="1:28" ht="15.75" x14ac:dyDescent="0.25">
      <c r="A19" s="126"/>
      <c r="B19" s="126"/>
      <c r="C19" s="127"/>
      <c r="D19" s="127"/>
      <c r="E19" s="127"/>
      <c r="F19" s="127"/>
      <c r="G19" s="73">
        <v>179348.22500000001</v>
      </c>
      <c r="H19" s="126"/>
      <c r="I19" s="24"/>
      <c r="J19" s="126"/>
      <c r="K19" s="24">
        <v>102359.68799999999</v>
      </c>
      <c r="L19" s="126"/>
      <c r="M19" s="126"/>
      <c r="N19" s="127"/>
      <c r="O19" s="86"/>
      <c r="P19" s="126"/>
      <c r="Q19" s="126"/>
      <c r="R19" s="127"/>
      <c r="S19" s="126"/>
      <c r="T19" s="127"/>
      <c r="U19" s="127"/>
      <c r="V19" s="126"/>
      <c r="W19" s="127"/>
      <c r="X19" s="127"/>
      <c r="Y19" s="126"/>
      <c r="Z19" s="127"/>
      <c r="AA19" s="127"/>
      <c r="AB19" s="127"/>
    </row>
    <row r="20" spans="1:28" ht="15.75" x14ac:dyDescent="0.25">
      <c r="A20" s="126"/>
      <c r="B20" s="126"/>
      <c r="C20" s="127"/>
      <c r="D20" s="127"/>
      <c r="E20" s="127"/>
      <c r="F20" s="127"/>
      <c r="G20" s="73">
        <v>79839.870999999999</v>
      </c>
      <c r="H20" s="126"/>
      <c r="I20" s="24">
        <v>4949.4849999999997</v>
      </c>
      <c r="J20" s="126"/>
      <c r="K20" s="24"/>
      <c r="L20" s="126"/>
      <c r="M20" s="126"/>
      <c r="N20" s="127"/>
      <c r="O20" s="86"/>
      <c r="P20" s="126"/>
      <c r="Q20" s="126"/>
      <c r="R20" s="127"/>
      <c r="S20" s="126"/>
      <c r="T20" s="127"/>
      <c r="U20" s="127"/>
      <c r="V20" s="126"/>
      <c r="W20" s="127"/>
      <c r="X20" s="127"/>
      <c r="Y20" s="126"/>
      <c r="Z20" s="127"/>
      <c r="AA20" s="127"/>
      <c r="AB20" s="127"/>
    </row>
    <row r="21" spans="1:28" ht="15.75" x14ac:dyDescent="0.25">
      <c r="A21" s="126"/>
      <c r="B21" s="126"/>
      <c r="C21" s="127"/>
      <c r="D21" s="127"/>
      <c r="E21" s="127"/>
      <c r="F21" s="127"/>
      <c r="G21" s="73"/>
      <c r="H21" s="126"/>
      <c r="I21" s="24"/>
      <c r="J21" s="126"/>
      <c r="K21" s="24">
        <v>26829.507999999998</v>
      </c>
      <c r="L21" s="126"/>
      <c r="M21" s="126"/>
      <c r="N21" s="127"/>
      <c r="O21" s="86"/>
      <c r="P21" s="126"/>
      <c r="Q21" s="126"/>
      <c r="R21" s="127"/>
      <c r="S21" s="126"/>
      <c r="T21" s="127"/>
      <c r="U21" s="127"/>
      <c r="V21" s="126"/>
      <c r="W21" s="127"/>
      <c r="X21" s="127"/>
      <c r="Y21" s="126"/>
      <c r="Z21" s="127"/>
      <c r="AA21" s="127"/>
      <c r="AB21" s="127"/>
    </row>
    <row r="22" spans="1:28" ht="15.75" x14ac:dyDescent="0.25">
      <c r="A22" s="126"/>
      <c r="B22" s="126"/>
      <c r="C22" s="127"/>
      <c r="D22" s="127"/>
      <c r="E22" s="127"/>
      <c r="F22" s="127"/>
      <c r="G22" s="73">
        <v>70356</v>
      </c>
      <c r="H22" s="126"/>
      <c r="I22" s="24"/>
      <c r="J22" s="126"/>
      <c r="K22" s="24"/>
      <c r="L22" s="126"/>
      <c r="M22" s="126"/>
      <c r="N22" s="127"/>
      <c r="O22" s="86"/>
      <c r="P22" s="126"/>
      <c r="Q22" s="126"/>
      <c r="R22" s="127"/>
      <c r="S22" s="126"/>
      <c r="T22" s="127"/>
      <c r="U22" s="127"/>
      <c r="V22" s="126"/>
      <c r="W22" s="127"/>
      <c r="X22" s="127"/>
      <c r="Y22" s="126"/>
      <c r="Z22" s="127"/>
      <c r="AA22" s="127"/>
      <c r="AB22" s="127"/>
    </row>
    <row r="23" spans="1:28" ht="15.75" x14ac:dyDescent="0.25">
      <c r="A23" s="126"/>
      <c r="B23" s="126"/>
      <c r="C23" s="127"/>
      <c r="D23" s="127"/>
      <c r="E23" s="127"/>
      <c r="F23" s="127"/>
      <c r="G23" s="73"/>
      <c r="H23" s="126"/>
      <c r="I23" s="24"/>
      <c r="J23" s="126"/>
      <c r="K23" s="24">
        <v>68646</v>
      </c>
      <c r="L23" s="126"/>
      <c r="M23" s="126"/>
      <c r="N23" s="127"/>
      <c r="O23" s="86"/>
      <c r="P23" s="126"/>
      <c r="Q23" s="126"/>
      <c r="R23" s="127"/>
      <c r="S23" s="126"/>
      <c r="T23" s="127"/>
      <c r="U23" s="127"/>
      <c r="V23" s="126"/>
      <c r="W23" s="127"/>
      <c r="X23" s="127"/>
      <c r="Y23" s="126"/>
      <c r="Z23" s="127"/>
      <c r="AA23" s="127"/>
      <c r="AB23" s="127"/>
    </row>
    <row r="24" spans="1:28" ht="15.75" x14ac:dyDescent="0.25">
      <c r="A24" s="126"/>
      <c r="B24" s="126"/>
      <c r="C24" s="127"/>
      <c r="D24" s="127"/>
      <c r="E24" s="127"/>
      <c r="F24" s="127"/>
      <c r="G24" s="73">
        <v>138513.11275</v>
      </c>
      <c r="H24" s="126"/>
      <c r="I24" s="24">
        <v>1028298.37248</v>
      </c>
      <c r="J24" s="126"/>
      <c r="K24" s="24">
        <v>54348.41517</v>
      </c>
      <c r="L24" s="126"/>
      <c r="M24" s="126"/>
      <c r="N24" s="127"/>
      <c r="O24" s="86"/>
      <c r="P24" s="126"/>
      <c r="Q24" s="126"/>
      <c r="R24" s="127"/>
      <c r="S24" s="126"/>
      <c r="T24" s="127"/>
      <c r="U24" s="127"/>
      <c r="V24" s="126"/>
      <c r="W24" s="127"/>
      <c r="X24" s="127"/>
      <c r="Y24" s="126"/>
      <c r="Z24" s="127"/>
      <c r="AA24" s="127"/>
      <c r="AB24" s="127"/>
    </row>
    <row r="25" spans="1:28" ht="15.75" x14ac:dyDescent="0.25">
      <c r="A25" s="126"/>
      <c r="B25" s="126"/>
      <c r="C25" s="127"/>
      <c r="D25" s="127"/>
      <c r="E25" s="127"/>
      <c r="F25" s="127"/>
      <c r="G25" s="73">
        <v>1144297.2760300001</v>
      </c>
      <c r="H25" s="126"/>
      <c r="I25" s="24">
        <v>912691.16</v>
      </c>
      <c r="J25" s="126"/>
      <c r="K25" s="24"/>
      <c r="L25" s="126"/>
      <c r="M25" s="126"/>
      <c r="N25" s="127"/>
      <c r="O25" s="86"/>
      <c r="P25" s="126"/>
      <c r="Q25" s="126"/>
      <c r="R25" s="127"/>
      <c r="S25" s="126"/>
      <c r="T25" s="127"/>
      <c r="U25" s="127"/>
      <c r="V25" s="126"/>
      <c r="W25" s="127"/>
      <c r="X25" s="127"/>
      <c r="Y25" s="126"/>
      <c r="Z25" s="127"/>
      <c r="AA25" s="127"/>
      <c r="AB25" s="127"/>
    </row>
    <row r="26" spans="1:28" ht="15.75" x14ac:dyDescent="0.25">
      <c r="A26" s="126"/>
      <c r="B26" s="126"/>
      <c r="C26" s="127"/>
      <c r="D26" s="127"/>
      <c r="E26" s="127"/>
      <c r="F26" s="127"/>
      <c r="G26" s="73">
        <v>234467.69200000001</v>
      </c>
      <c r="H26" s="126"/>
      <c r="I26" s="24"/>
      <c r="J26" s="126"/>
      <c r="K26" s="24"/>
      <c r="L26" s="126"/>
      <c r="M26" s="126"/>
      <c r="N26" s="127"/>
      <c r="O26" s="86"/>
      <c r="P26" s="126"/>
      <c r="Q26" s="126"/>
      <c r="R26" s="127"/>
      <c r="S26" s="126"/>
      <c r="T26" s="127"/>
      <c r="U26" s="127"/>
      <c r="V26" s="126"/>
      <c r="W26" s="127"/>
      <c r="X26" s="127"/>
      <c r="Y26" s="126"/>
      <c r="Z26" s="127"/>
      <c r="AA26" s="127"/>
      <c r="AB26" s="127"/>
    </row>
    <row r="27" spans="1:28" ht="15.75" x14ac:dyDescent="0.25">
      <c r="A27" s="126"/>
      <c r="B27" s="126"/>
      <c r="C27" s="127"/>
      <c r="D27" s="127"/>
      <c r="E27" s="127"/>
      <c r="F27" s="127"/>
      <c r="G27" s="73"/>
      <c r="H27" s="126"/>
      <c r="I27" s="24"/>
      <c r="J27" s="126"/>
      <c r="K27" s="24">
        <v>21650</v>
      </c>
      <c r="L27" s="126"/>
      <c r="M27" s="126"/>
      <c r="N27" s="127"/>
      <c r="O27" s="86"/>
      <c r="P27" s="126"/>
      <c r="Q27" s="126"/>
      <c r="R27" s="127"/>
      <c r="S27" s="126"/>
      <c r="T27" s="127"/>
      <c r="U27" s="127"/>
      <c r="V27" s="126"/>
      <c r="W27" s="127"/>
      <c r="X27" s="127"/>
      <c r="Y27" s="126"/>
      <c r="Z27" s="127"/>
      <c r="AA27" s="127"/>
      <c r="AB27" s="127"/>
    </row>
    <row r="28" spans="1:28" ht="15.75" x14ac:dyDescent="0.25">
      <c r="A28" s="126"/>
      <c r="B28" s="126"/>
      <c r="C28" s="127"/>
      <c r="D28" s="127"/>
      <c r="E28" s="127"/>
      <c r="F28" s="127"/>
      <c r="G28" s="73"/>
      <c r="H28" s="126"/>
      <c r="I28" s="24"/>
      <c r="J28" s="126"/>
      <c r="K28" s="24">
        <v>22086.307000000001</v>
      </c>
      <c r="L28" s="126"/>
      <c r="M28" s="126"/>
      <c r="N28" s="127"/>
      <c r="O28" s="86"/>
      <c r="P28" s="126"/>
      <c r="Q28" s="126"/>
      <c r="R28" s="127"/>
      <c r="S28" s="126"/>
      <c r="T28" s="127"/>
      <c r="U28" s="127"/>
      <c r="V28" s="126"/>
      <c r="W28" s="127"/>
      <c r="X28" s="127"/>
      <c r="Y28" s="126"/>
      <c r="Z28" s="127"/>
      <c r="AA28" s="127"/>
      <c r="AB28" s="127"/>
    </row>
    <row r="29" spans="1:28" ht="15.75" x14ac:dyDescent="0.25">
      <c r="A29" s="126"/>
      <c r="B29" s="126"/>
      <c r="C29" s="127"/>
      <c r="D29" s="127"/>
      <c r="E29" s="127"/>
      <c r="F29" s="127"/>
      <c r="G29" s="73"/>
      <c r="H29" s="126"/>
      <c r="I29" s="24"/>
      <c r="J29" s="126"/>
      <c r="K29" s="24"/>
      <c r="L29" s="126"/>
      <c r="M29" s="126"/>
      <c r="N29" s="127"/>
      <c r="O29" s="86"/>
      <c r="P29" s="126"/>
      <c r="Q29" s="126"/>
      <c r="R29" s="127"/>
      <c r="S29" s="126"/>
      <c r="T29" s="127"/>
      <c r="U29" s="127"/>
      <c r="V29" s="126"/>
      <c r="W29" s="127"/>
      <c r="X29" s="127"/>
      <c r="Y29" s="126"/>
      <c r="Z29" s="127"/>
      <c r="AA29" s="127"/>
      <c r="AB29" s="127"/>
    </row>
    <row r="30" spans="1:28" ht="15.75" x14ac:dyDescent="0.25">
      <c r="A30" s="126"/>
      <c r="B30" s="126"/>
      <c r="C30" s="127"/>
      <c r="D30" s="127"/>
      <c r="E30" s="127"/>
      <c r="F30" s="127"/>
      <c r="G30" s="73"/>
      <c r="H30" s="126"/>
      <c r="I30" s="24">
        <v>1128761.6099999999</v>
      </c>
      <c r="J30" s="126"/>
      <c r="K30" s="24"/>
      <c r="L30" s="126"/>
      <c r="M30" s="126"/>
      <c r="N30" s="127"/>
      <c r="O30" s="86"/>
      <c r="P30" s="126"/>
      <c r="Q30" s="126"/>
      <c r="R30" s="127"/>
      <c r="S30" s="126"/>
      <c r="T30" s="127"/>
      <c r="U30" s="127"/>
      <c r="V30" s="126"/>
      <c r="W30" s="127"/>
      <c r="X30" s="127"/>
      <c r="Y30" s="126"/>
      <c r="Z30" s="127"/>
      <c r="AA30" s="127"/>
      <c r="AB30" s="127"/>
    </row>
    <row r="31" spans="1:28" ht="15.75" x14ac:dyDescent="0.25">
      <c r="A31" s="126"/>
      <c r="B31" s="126"/>
      <c r="C31" s="127"/>
      <c r="D31" s="127"/>
      <c r="E31" s="127"/>
      <c r="F31" s="127"/>
      <c r="G31" s="73"/>
      <c r="H31" s="126"/>
      <c r="I31" s="24"/>
      <c r="J31" s="126"/>
      <c r="K31" s="24">
        <v>7054</v>
      </c>
      <c r="L31" s="126"/>
      <c r="M31" s="126"/>
      <c r="N31" s="127"/>
      <c r="O31" s="86"/>
      <c r="P31" s="126"/>
      <c r="Q31" s="126"/>
      <c r="R31" s="127"/>
      <c r="S31" s="126"/>
      <c r="T31" s="127"/>
      <c r="U31" s="127"/>
      <c r="V31" s="126"/>
      <c r="W31" s="127"/>
      <c r="X31" s="127"/>
      <c r="Y31" s="126"/>
      <c r="Z31" s="127"/>
      <c r="AA31" s="127"/>
      <c r="AB31" s="127"/>
    </row>
    <row r="32" spans="1:28" ht="15.75" x14ac:dyDescent="0.25">
      <c r="A32" s="126"/>
      <c r="B32" s="126"/>
      <c r="C32" s="127"/>
      <c r="D32" s="127"/>
      <c r="E32" s="127"/>
      <c r="F32" s="127"/>
      <c r="G32" s="73">
        <v>1066387</v>
      </c>
      <c r="H32" s="126"/>
      <c r="I32" s="24"/>
      <c r="J32" s="126"/>
      <c r="K32" s="24"/>
      <c r="L32" s="126"/>
      <c r="M32" s="126"/>
      <c r="N32" s="127"/>
      <c r="O32" s="86"/>
      <c r="P32" s="126"/>
      <c r="Q32" s="126"/>
      <c r="R32" s="127"/>
      <c r="S32" s="126"/>
      <c r="T32" s="127"/>
      <c r="U32" s="127"/>
      <c r="V32" s="126"/>
      <c r="W32" s="127"/>
      <c r="X32" s="127"/>
      <c r="Y32" s="126"/>
      <c r="Z32" s="127"/>
      <c r="AA32" s="127"/>
      <c r="AB32" s="127"/>
    </row>
    <row r="33" spans="1:28" ht="15.75" x14ac:dyDescent="0.25">
      <c r="A33" s="126"/>
      <c r="B33" s="126"/>
      <c r="C33" s="127"/>
      <c r="D33" s="127"/>
      <c r="E33" s="127"/>
      <c r="F33" s="127"/>
      <c r="G33" s="73">
        <v>169602.73000000004</v>
      </c>
      <c r="H33" s="126"/>
      <c r="I33" s="24">
        <v>115737.14</v>
      </c>
      <c r="J33" s="126"/>
      <c r="K33" s="24">
        <v>17349.95</v>
      </c>
      <c r="L33" s="126"/>
      <c r="M33" s="126"/>
      <c r="N33" s="127"/>
      <c r="O33" s="86"/>
      <c r="P33" s="126"/>
      <c r="Q33" s="126"/>
      <c r="R33" s="127"/>
      <c r="S33" s="126"/>
      <c r="T33" s="127"/>
      <c r="U33" s="127"/>
      <c r="V33" s="126"/>
      <c r="W33" s="127"/>
      <c r="X33" s="127"/>
      <c r="Y33" s="126"/>
      <c r="Z33" s="127"/>
      <c r="AA33" s="127"/>
      <c r="AB33" s="127"/>
    </row>
    <row r="34" spans="1:28" ht="15.75" x14ac:dyDescent="0.25">
      <c r="A34" s="126"/>
      <c r="B34" s="126"/>
      <c r="C34" s="127"/>
      <c r="D34" s="127"/>
      <c r="E34" s="127"/>
      <c r="F34" s="127"/>
      <c r="G34" s="73">
        <v>130101.13202999999</v>
      </c>
      <c r="H34" s="126"/>
      <c r="I34" s="24"/>
      <c r="J34" s="126"/>
      <c r="K34" s="24"/>
      <c r="L34" s="126"/>
      <c r="M34" s="126"/>
      <c r="N34" s="127"/>
      <c r="O34" s="86"/>
      <c r="P34" s="126"/>
      <c r="Q34" s="126"/>
      <c r="R34" s="127"/>
      <c r="S34" s="126"/>
      <c r="T34" s="127"/>
      <c r="U34" s="127"/>
      <c r="V34" s="126"/>
      <c r="W34" s="127"/>
      <c r="X34" s="127"/>
      <c r="Y34" s="126"/>
      <c r="Z34" s="127"/>
      <c r="AA34" s="127"/>
      <c r="AB34" s="127"/>
    </row>
    <row r="35" spans="1:28" ht="15.75" x14ac:dyDescent="0.25">
      <c r="A35" s="126"/>
      <c r="B35" s="126"/>
      <c r="C35" s="127"/>
      <c r="D35" s="127"/>
      <c r="E35" s="127"/>
      <c r="F35" s="127"/>
      <c r="G35" s="73"/>
      <c r="H35" s="126"/>
      <c r="I35" s="24"/>
      <c r="J35" s="126"/>
      <c r="K35" s="24">
        <v>139113.97479000001</v>
      </c>
      <c r="L35" s="126"/>
      <c r="M35" s="126"/>
      <c r="N35" s="127"/>
      <c r="O35" s="86"/>
      <c r="P35" s="126"/>
      <c r="Q35" s="126"/>
      <c r="R35" s="127"/>
      <c r="S35" s="126"/>
      <c r="T35" s="127"/>
      <c r="U35" s="127"/>
      <c r="V35" s="126"/>
      <c r="W35" s="127"/>
      <c r="X35" s="127"/>
      <c r="Y35" s="126"/>
      <c r="Z35" s="127"/>
      <c r="AA35" s="127"/>
      <c r="AB35" s="127"/>
    </row>
    <row r="36" spans="1:28" ht="15.75" x14ac:dyDescent="0.25">
      <c r="A36" s="126"/>
      <c r="B36" s="126"/>
      <c r="C36" s="127"/>
      <c r="D36" s="127"/>
      <c r="E36" s="127"/>
      <c r="F36" s="127"/>
      <c r="G36" s="73">
        <v>77567.325150000004</v>
      </c>
      <c r="H36" s="126"/>
      <c r="I36" s="24"/>
      <c r="J36" s="126"/>
      <c r="K36" s="24"/>
      <c r="L36" s="126"/>
      <c r="M36" s="126"/>
      <c r="N36" s="127"/>
      <c r="O36" s="86"/>
      <c r="P36" s="126"/>
      <c r="Q36" s="126"/>
      <c r="R36" s="127"/>
      <c r="S36" s="126"/>
      <c r="T36" s="127"/>
      <c r="U36" s="127"/>
      <c r="V36" s="126"/>
      <c r="W36" s="127"/>
      <c r="X36" s="127"/>
      <c r="Y36" s="126"/>
      <c r="Z36" s="127"/>
      <c r="AA36" s="127"/>
      <c r="AB36" s="127"/>
    </row>
    <row r="37" spans="1:28" ht="15.75" x14ac:dyDescent="0.25">
      <c r="A37" s="126"/>
      <c r="B37" s="126"/>
      <c r="C37" s="127"/>
      <c r="D37" s="127"/>
      <c r="E37" s="127"/>
      <c r="F37" s="127"/>
      <c r="G37" s="73">
        <v>169192</v>
      </c>
      <c r="H37" s="126"/>
      <c r="I37" s="24">
        <v>2904</v>
      </c>
      <c r="J37" s="126"/>
      <c r="K37" s="24"/>
      <c r="L37" s="126"/>
      <c r="M37" s="126"/>
      <c r="N37" s="127"/>
      <c r="O37" s="86"/>
      <c r="P37" s="126"/>
      <c r="Q37" s="126"/>
      <c r="R37" s="127"/>
      <c r="S37" s="126"/>
      <c r="T37" s="127"/>
      <c r="U37" s="127"/>
      <c r="V37" s="126"/>
      <c r="W37" s="127"/>
      <c r="X37" s="127"/>
      <c r="Y37" s="126"/>
      <c r="Z37" s="127"/>
      <c r="AA37" s="127"/>
      <c r="AB37" s="127"/>
    </row>
    <row r="38" spans="1:28" ht="15.75" x14ac:dyDescent="0.25">
      <c r="A38" s="126"/>
      <c r="B38" s="127"/>
      <c r="C38" s="127"/>
      <c r="D38" s="127"/>
      <c r="E38" s="127"/>
      <c r="F38" s="127"/>
      <c r="G38" s="73">
        <v>121233.95911</v>
      </c>
      <c r="H38" s="127"/>
      <c r="I38" s="24"/>
      <c r="J38" s="127"/>
      <c r="K38" s="24"/>
      <c r="L38" s="126"/>
      <c r="M38" s="126"/>
      <c r="N38" s="127"/>
      <c r="O38" s="86"/>
      <c r="P38" s="126"/>
      <c r="Q38" s="127"/>
      <c r="R38" s="127"/>
      <c r="S38" s="126"/>
      <c r="T38" s="127"/>
      <c r="U38" s="127"/>
      <c r="V38" s="126"/>
      <c r="W38" s="127"/>
      <c r="X38" s="127"/>
      <c r="Y38" s="126"/>
      <c r="Z38" s="127"/>
      <c r="AA38" s="127"/>
      <c r="AB38" s="127"/>
    </row>
    <row r="39" spans="1:28" ht="15.75" x14ac:dyDescent="0.25">
      <c r="A39" s="126"/>
      <c r="B39" s="127"/>
      <c r="C39" s="127"/>
      <c r="D39" s="127"/>
      <c r="E39" s="127"/>
      <c r="F39" s="127"/>
      <c r="G39" s="73">
        <v>49491</v>
      </c>
      <c r="H39" s="127"/>
      <c r="I39" s="24"/>
      <c r="J39" s="127"/>
      <c r="K39" s="24"/>
      <c r="L39" s="126"/>
      <c r="M39" s="126"/>
      <c r="N39" s="127"/>
      <c r="O39" s="86"/>
      <c r="P39" s="126"/>
      <c r="Q39" s="127"/>
      <c r="R39" s="127"/>
      <c r="S39" s="126"/>
      <c r="T39" s="127"/>
      <c r="U39" s="127"/>
      <c r="V39" s="126"/>
      <c r="W39" s="127"/>
      <c r="X39" s="127"/>
      <c r="Y39" s="126"/>
      <c r="Z39" s="127"/>
      <c r="AA39" s="127"/>
      <c r="AB39" s="127"/>
    </row>
    <row r="40" spans="1:28" ht="15.75" x14ac:dyDescent="0.25">
      <c r="A40" s="126"/>
      <c r="B40" s="127"/>
      <c r="C40" s="127"/>
      <c r="D40" s="127"/>
      <c r="E40" s="127"/>
      <c r="F40" s="127"/>
      <c r="G40" s="73">
        <v>48754</v>
      </c>
      <c r="H40" s="127"/>
      <c r="I40" s="24"/>
      <c r="J40" s="127"/>
      <c r="K40" s="24"/>
      <c r="L40" s="126"/>
      <c r="M40" s="126"/>
      <c r="N40" s="127"/>
      <c r="O40" s="86"/>
      <c r="P40" s="126"/>
      <c r="Q40" s="127"/>
      <c r="R40" s="127"/>
      <c r="S40" s="126"/>
      <c r="T40" s="127"/>
      <c r="U40" s="127"/>
      <c r="V40" s="126"/>
      <c r="W40" s="127"/>
      <c r="X40" s="127"/>
      <c r="Y40" s="126"/>
      <c r="Z40" s="127"/>
      <c r="AA40" s="127"/>
      <c r="AB40" s="127"/>
    </row>
    <row r="41" spans="1:28" ht="15.75" x14ac:dyDescent="0.25">
      <c r="A41" s="126"/>
      <c r="B41" s="127"/>
      <c r="C41" s="127"/>
      <c r="D41" s="127"/>
      <c r="E41" s="127"/>
      <c r="F41" s="128"/>
      <c r="G41" s="73">
        <v>38948.85</v>
      </c>
      <c r="H41" s="127"/>
      <c r="I41" s="24"/>
      <c r="J41" s="127"/>
      <c r="K41" s="24">
        <v>39514.559999999998</v>
      </c>
      <c r="L41" s="126"/>
      <c r="M41" s="126"/>
      <c r="N41" s="127"/>
      <c r="O41" s="86"/>
      <c r="P41" s="126"/>
      <c r="Q41" s="127"/>
      <c r="R41" s="127"/>
      <c r="S41" s="126"/>
      <c r="T41" s="127"/>
      <c r="U41" s="127"/>
      <c r="V41" s="126"/>
      <c r="W41" s="127"/>
      <c r="X41" s="127"/>
      <c r="Y41" s="126"/>
      <c r="Z41" s="127"/>
      <c r="AA41" s="127"/>
      <c r="AB41" s="127"/>
    </row>
    <row r="42" spans="1:28" ht="15.75" x14ac:dyDescent="0.25">
      <c r="A42" s="126"/>
      <c r="B42" s="127"/>
      <c r="C42" s="127"/>
      <c r="D42" s="127"/>
      <c r="E42" s="127"/>
      <c r="F42" s="127"/>
      <c r="G42" s="73">
        <v>15151.885200000001</v>
      </c>
      <c r="H42" s="127"/>
      <c r="I42" s="24"/>
      <c r="J42" s="127"/>
      <c r="K42" s="24">
        <v>2235.7032199999999</v>
      </c>
      <c r="L42" s="126"/>
      <c r="M42" s="126"/>
      <c r="N42" s="127"/>
      <c r="O42" s="86"/>
      <c r="P42" s="126"/>
      <c r="Q42" s="127"/>
      <c r="R42" s="127"/>
      <c r="S42" s="126"/>
      <c r="T42" s="127"/>
      <c r="U42" s="127"/>
      <c r="V42" s="126"/>
      <c r="W42" s="127"/>
      <c r="X42" s="127"/>
      <c r="Y42" s="126"/>
      <c r="Z42" s="127"/>
      <c r="AA42" s="127"/>
      <c r="AB42" s="127"/>
    </row>
    <row r="43" spans="1:28" ht="15.75" x14ac:dyDescent="0.25">
      <c r="A43" s="126"/>
      <c r="B43" s="127"/>
      <c r="C43" s="127"/>
      <c r="D43" s="127"/>
      <c r="E43" s="127"/>
      <c r="F43" s="127"/>
      <c r="G43" s="73">
        <v>4448724.91</v>
      </c>
      <c r="H43" s="127"/>
      <c r="I43" s="24"/>
      <c r="J43" s="127"/>
      <c r="K43" s="24"/>
      <c r="L43" s="126"/>
      <c r="M43" s="126"/>
      <c r="N43" s="127"/>
      <c r="O43" s="86"/>
      <c r="P43" s="126"/>
      <c r="Q43" s="127"/>
      <c r="R43" s="127"/>
      <c r="S43" s="126"/>
      <c r="T43" s="127"/>
      <c r="U43" s="127"/>
      <c r="V43" s="126"/>
      <c r="W43" s="127"/>
      <c r="X43" s="127"/>
      <c r="Y43" s="126"/>
      <c r="Z43" s="127"/>
      <c r="AA43" s="127"/>
      <c r="AB43" s="127"/>
    </row>
    <row r="44" spans="1:28" ht="15.75" x14ac:dyDescent="0.25">
      <c r="A44" s="126"/>
      <c r="B44" s="127"/>
      <c r="C44" s="127"/>
      <c r="D44" s="127"/>
      <c r="E44" s="127"/>
      <c r="F44" s="127"/>
      <c r="G44" s="73">
        <v>1352300.2730000003</v>
      </c>
      <c r="H44" s="127"/>
      <c r="I44" s="24"/>
      <c r="J44" s="127"/>
      <c r="K44" s="24"/>
      <c r="L44" s="126"/>
      <c r="M44" s="126"/>
      <c r="N44" s="127"/>
      <c r="O44" s="86"/>
      <c r="P44" s="126"/>
      <c r="Q44" s="127"/>
      <c r="R44" s="127"/>
      <c r="S44" s="126"/>
      <c r="T44" s="127"/>
      <c r="U44" s="127"/>
      <c r="V44" s="126"/>
      <c r="W44" s="127"/>
      <c r="X44" s="127"/>
      <c r="Y44" s="126"/>
      <c r="Z44" s="127"/>
      <c r="AA44" s="127"/>
      <c r="AB44" s="127"/>
    </row>
    <row r="45" spans="1:28" ht="15.75" x14ac:dyDescent="0.25">
      <c r="A45" s="126"/>
      <c r="B45" s="127"/>
      <c r="C45" s="127"/>
      <c r="D45" s="127"/>
      <c r="E45" s="127"/>
      <c r="F45" s="127"/>
      <c r="G45" s="73"/>
      <c r="H45" s="127"/>
      <c r="I45" s="24"/>
      <c r="J45" s="127"/>
      <c r="K45" s="24">
        <v>73730</v>
      </c>
      <c r="L45" s="126"/>
      <c r="M45" s="126"/>
      <c r="N45" s="127"/>
      <c r="O45" s="86"/>
      <c r="P45" s="126"/>
      <c r="Q45" s="127"/>
      <c r="R45" s="127"/>
      <c r="S45" s="126"/>
      <c r="T45" s="127"/>
      <c r="U45" s="127"/>
      <c r="V45" s="126"/>
      <c r="W45" s="127"/>
      <c r="X45" s="127"/>
      <c r="Y45" s="126"/>
      <c r="Z45" s="127"/>
      <c r="AA45" s="127"/>
      <c r="AB45" s="127"/>
    </row>
    <row r="46" spans="1:28" ht="15.75" x14ac:dyDescent="0.25">
      <c r="A46" s="126"/>
      <c r="B46" s="127"/>
      <c r="C46" s="127"/>
      <c r="D46" s="127"/>
      <c r="E46" s="127"/>
      <c r="F46" s="127"/>
      <c r="G46" s="71"/>
      <c r="H46" s="127"/>
      <c r="I46" s="18"/>
      <c r="J46" s="127"/>
      <c r="K46" s="18"/>
      <c r="L46" s="126"/>
      <c r="M46" s="126"/>
      <c r="N46" s="127"/>
      <c r="O46" s="85"/>
      <c r="P46" s="126"/>
      <c r="Q46" s="127"/>
      <c r="R46" s="127"/>
      <c r="S46" s="126"/>
      <c r="T46" s="127"/>
      <c r="U46" s="127"/>
      <c r="V46" s="126"/>
      <c r="W46" s="127"/>
      <c r="X46" s="127"/>
      <c r="Y46" s="126"/>
      <c r="Z46" s="127"/>
      <c r="AA46" s="127"/>
      <c r="AB46" s="127"/>
    </row>
    <row r="47" spans="1:28" ht="15.75" x14ac:dyDescent="0.25">
      <c r="A47" s="126"/>
      <c r="B47" s="127"/>
      <c r="C47" s="127"/>
      <c r="D47" s="127"/>
      <c r="E47" s="127"/>
      <c r="F47" s="127"/>
      <c r="G47" s="73">
        <v>90995.827000000005</v>
      </c>
      <c r="H47" s="127"/>
      <c r="I47" s="24">
        <v>53017.326000000001</v>
      </c>
      <c r="J47" s="127"/>
      <c r="K47" s="24">
        <v>6420.75</v>
      </c>
      <c r="L47" s="126"/>
      <c r="M47" s="126"/>
      <c r="N47" s="127"/>
      <c r="O47" s="86"/>
      <c r="P47" s="126"/>
      <c r="Q47" s="127"/>
      <c r="R47" s="127"/>
      <c r="S47" s="126"/>
      <c r="T47" s="127"/>
      <c r="U47" s="127"/>
      <c r="V47" s="126"/>
      <c r="W47" s="127"/>
      <c r="X47" s="127"/>
      <c r="Y47" s="126"/>
      <c r="Z47" s="127"/>
      <c r="AA47" s="127"/>
      <c r="AB47" s="127"/>
    </row>
    <row r="48" spans="1:28" ht="15.75" x14ac:dyDescent="0.25">
      <c r="A48" s="126"/>
      <c r="B48" s="127"/>
      <c r="C48" s="127"/>
      <c r="D48" s="127"/>
      <c r="E48" s="127"/>
      <c r="F48" s="127"/>
      <c r="G48" s="73">
        <v>283861.7</v>
      </c>
      <c r="H48" s="127"/>
      <c r="I48" s="24"/>
      <c r="J48" s="127"/>
      <c r="K48" s="24"/>
      <c r="L48" s="126"/>
      <c r="M48" s="126"/>
      <c r="N48" s="127"/>
      <c r="O48" s="86"/>
      <c r="P48" s="126"/>
      <c r="Q48" s="127"/>
      <c r="R48" s="127"/>
      <c r="S48" s="126"/>
      <c r="T48" s="127"/>
      <c r="U48" s="127"/>
      <c r="V48" s="126"/>
      <c r="W48" s="127"/>
      <c r="X48" s="127"/>
      <c r="Y48" s="126"/>
      <c r="Z48" s="127"/>
      <c r="AA48" s="127"/>
      <c r="AB48" s="127"/>
    </row>
    <row r="49" spans="1:28" ht="15.75" x14ac:dyDescent="0.25">
      <c r="A49" s="126"/>
      <c r="B49" s="127"/>
      <c r="C49" s="127"/>
      <c r="D49" s="127"/>
      <c r="E49" s="127"/>
      <c r="F49" s="127"/>
      <c r="G49" s="131">
        <f>SUM(G2:G48)</f>
        <v>12845767.737539999</v>
      </c>
      <c r="H49" s="127"/>
      <c r="I49" s="132">
        <f>SUM(I2:I48)</f>
        <v>3574629.7444799999</v>
      </c>
      <c r="J49" s="127"/>
      <c r="K49" s="132">
        <f>SUM(K2:K48)</f>
        <v>1152310.99618</v>
      </c>
      <c r="L49" s="126"/>
      <c r="M49" s="126"/>
      <c r="N49" s="127"/>
      <c r="O49" s="85"/>
      <c r="P49" s="126"/>
      <c r="Q49" s="127"/>
      <c r="R49" s="127"/>
      <c r="S49" s="126"/>
      <c r="T49" s="127"/>
      <c r="U49" s="127"/>
      <c r="V49" s="126"/>
      <c r="W49" s="127"/>
      <c r="X49" s="127"/>
      <c r="Y49" s="126"/>
      <c r="Z49" s="127"/>
      <c r="AA49" s="127"/>
      <c r="AB49" s="127"/>
    </row>
    <row r="50" spans="1:28" ht="15.75" x14ac:dyDescent="0.25">
      <c r="A50" s="126"/>
      <c r="B50" s="127"/>
      <c r="C50" s="127"/>
      <c r="D50" s="127"/>
      <c r="E50" s="127"/>
      <c r="F50" s="127"/>
      <c r="G50" s="126"/>
      <c r="H50" s="127"/>
      <c r="I50" s="127"/>
      <c r="J50" s="127"/>
      <c r="K50" s="127"/>
      <c r="L50" s="126"/>
      <c r="M50" s="126"/>
      <c r="N50" s="127"/>
      <c r="O50" s="127"/>
      <c r="P50" s="126"/>
      <c r="Q50" s="127"/>
      <c r="R50" s="127"/>
      <c r="S50" s="126"/>
      <c r="T50" s="127"/>
      <c r="U50" s="127"/>
      <c r="V50" s="126"/>
      <c r="W50" s="127"/>
      <c r="X50" s="127"/>
      <c r="Y50" s="126"/>
      <c r="Z50" s="127"/>
      <c r="AA50" s="127"/>
      <c r="AB50" s="127"/>
    </row>
    <row r="51" spans="1:28" ht="15.75" x14ac:dyDescent="0.25">
      <c r="A51" s="126"/>
      <c r="B51" s="127"/>
      <c r="C51" s="127"/>
      <c r="D51" s="127"/>
      <c r="E51" s="127"/>
      <c r="F51" s="127"/>
      <c r="G51" s="126"/>
      <c r="H51" s="127"/>
      <c r="I51" s="127"/>
      <c r="J51" s="127"/>
      <c r="K51" s="127"/>
      <c r="L51" s="126"/>
      <c r="M51" s="126"/>
      <c r="N51" s="127"/>
      <c r="O51" s="127"/>
      <c r="P51" s="126"/>
      <c r="Q51" s="127"/>
      <c r="R51" s="127"/>
      <c r="S51" s="126"/>
      <c r="T51" s="127"/>
      <c r="U51" s="127"/>
      <c r="V51" s="126"/>
      <c r="W51" s="127"/>
      <c r="X51" s="127"/>
      <c r="Y51" s="126"/>
      <c r="Z51" s="127"/>
      <c r="AA51" s="127"/>
      <c r="AB51" s="127"/>
    </row>
    <row r="52" spans="1:28" ht="15.75" x14ac:dyDescent="0.25">
      <c r="A52" s="126"/>
      <c r="B52" s="127"/>
      <c r="C52" s="127"/>
      <c r="D52" s="127"/>
      <c r="E52" s="127"/>
      <c r="F52" s="127"/>
      <c r="G52" s="126"/>
      <c r="H52" s="127"/>
      <c r="I52" s="127"/>
      <c r="J52" s="127"/>
      <c r="K52" s="127"/>
      <c r="L52" s="126"/>
      <c r="M52" s="126"/>
      <c r="N52" s="127"/>
      <c r="O52" s="127"/>
      <c r="P52" s="126"/>
      <c r="Q52" s="127"/>
      <c r="R52" s="127"/>
      <c r="S52" s="126"/>
      <c r="T52" s="127"/>
      <c r="U52" s="127"/>
      <c r="V52" s="126"/>
      <c r="W52" s="127"/>
      <c r="X52" s="127"/>
      <c r="Y52" s="126"/>
      <c r="Z52" s="127"/>
      <c r="AA52" s="127"/>
      <c r="AB52" s="127"/>
    </row>
    <row r="53" spans="1:28" ht="15.75" x14ac:dyDescent="0.25">
      <c r="A53" s="126"/>
      <c r="B53" s="127"/>
      <c r="C53" s="127"/>
      <c r="D53" s="127"/>
      <c r="E53" s="127"/>
      <c r="F53" s="127"/>
      <c r="G53" s="126"/>
      <c r="H53" s="127"/>
      <c r="I53" s="127"/>
      <c r="J53" s="127"/>
      <c r="K53" s="127"/>
      <c r="L53" s="126"/>
      <c r="M53" s="126"/>
      <c r="N53" s="127"/>
      <c r="O53" s="127"/>
      <c r="P53" s="126"/>
      <c r="Q53" s="127"/>
      <c r="R53" s="127"/>
      <c r="S53" s="126"/>
      <c r="T53" s="127"/>
      <c r="U53" s="127"/>
      <c r="V53" s="126"/>
      <c r="W53" s="127"/>
      <c r="X53" s="127"/>
      <c r="Y53" s="126"/>
      <c r="Z53" s="127"/>
      <c r="AA53" s="127"/>
      <c r="AB53" s="127"/>
    </row>
    <row r="54" spans="1:28" ht="15.75" x14ac:dyDescent="0.25">
      <c r="A54" s="126"/>
      <c r="B54" s="127"/>
      <c r="C54" s="127"/>
      <c r="D54" s="127"/>
      <c r="E54" s="127"/>
      <c r="F54" s="127"/>
      <c r="G54" s="126"/>
      <c r="H54" s="127"/>
      <c r="I54" s="127"/>
      <c r="J54" s="127"/>
      <c r="K54" s="127"/>
      <c r="L54" s="126"/>
      <c r="M54" s="126"/>
      <c r="N54" s="127"/>
      <c r="O54" s="127"/>
      <c r="P54" s="126"/>
      <c r="Q54" s="127"/>
      <c r="R54" s="127"/>
      <c r="S54" s="126"/>
      <c r="T54" s="127"/>
      <c r="U54" s="127"/>
      <c r="V54" s="126"/>
      <c r="W54" s="127"/>
      <c r="X54" s="127"/>
      <c r="Y54" s="126"/>
      <c r="Z54" s="127"/>
      <c r="AA54" s="127"/>
      <c r="AB54" s="127"/>
    </row>
    <row r="55" spans="1:28" ht="15.75" x14ac:dyDescent="0.25">
      <c r="A55" s="126"/>
      <c r="B55" s="127"/>
      <c r="C55" s="127"/>
      <c r="D55" s="127"/>
      <c r="E55" s="127"/>
      <c r="F55" s="127"/>
      <c r="G55" s="126"/>
      <c r="H55" s="127"/>
      <c r="I55" s="127"/>
      <c r="J55" s="127"/>
      <c r="K55" s="127"/>
      <c r="L55" s="126"/>
      <c r="M55" s="126"/>
      <c r="N55" s="127"/>
      <c r="O55" s="127"/>
      <c r="P55" s="126"/>
      <c r="Q55" s="127"/>
      <c r="R55" s="127"/>
      <c r="S55" s="126"/>
      <c r="T55" s="127"/>
      <c r="U55" s="127"/>
      <c r="V55" s="126"/>
      <c r="W55" s="127"/>
      <c r="X55" s="127"/>
      <c r="Y55" s="126"/>
      <c r="Z55" s="127"/>
      <c r="AA55" s="127"/>
      <c r="AB55" s="127"/>
    </row>
    <row r="56" spans="1:28" ht="15.75" x14ac:dyDescent="0.25">
      <c r="A56" s="126"/>
      <c r="B56" s="127"/>
      <c r="C56" s="127"/>
      <c r="D56" s="127"/>
      <c r="E56" s="127"/>
      <c r="F56" s="127"/>
      <c r="G56" s="126"/>
      <c r="H56" s="127"/>
      <c r="I56" s="127"/>
      <c r="J56" s="127"/>
      <c r="K56" s="127"/>
      <c r="L56" s="126"/>
      <c r="M56" s="126"/>
      <c r="N56" s="127"/>
      <c r="O56" s="127"/>
      <c r="P56" s="126"/>
      <c r="Q56" s="127"/>
      <c r="R56" s="127"/>
      <c r="S56" s="126"/>
      <c r="T56" s="127"/>
      <c r="U56" s="127"/>
      <c r="V56" s="126"/>
      <c r="W56" s="127"/>
      <c r="X56" s="127"/>
      <c r="Y56" s="126"/>
      <c r="Z56" s="127"/>
      <c r="AA56" s="127"/>
      <c r="AB56" s="127"/>
    </row>
    <row r="57" spans="1:28" ht="15.75" x14ac:dyDescent="0.25">
      <c r="A57" s="126"/>
      <c r="B57" s="127"/>
      <c r="C57" s="127"/>
      <c r="D57" s="127"/>
      <c r="E57" s="127"/>
      <c r="F57" s="127"/>
      <c r="G57" s="126"/>
      <c r="H57" s="127"/>
      <c r="I57" s="127"/>
      <c r="J57" s="127"/>
      <c r="K57" s="127"/>
      <c r="L57" s="126"/>
      <c r="M57" s="126"/>
      <c r="N57" s="127"/>
      <c r="O57" s="127"/>
      <c r="P57" s="126"/>
      <c r="Q57" s="127"/>
      <c r="R57" s="127"/>
      <c r="S57" s="126"/>
      <c r="T57" s="127"/>
      <c r="U57" s="127"/>
      <c r="V57" s="126"/>
      <c r="W57" s="127"/>
      <c r="X57" s="127"/>
      <c r="Y57" s="126"/>
      <c r="Z57" s="127"/>
      <c r="AA57" s="127"/>
      <c r="AB57" s="127"/>
    </row>
    <row r="58" spans="1:28" ht="15.75" x14ac:dyDescent="0.25">
      <c r="A58" s="126"/>
      <c r="B58" s="127"/>
      <c r="C58" s="127"/>
      <c r="D58" s="127"/>
      <c r="E58" s="127"/>
      <c r="F58" s="127"/>
      <c r="G58" s="126"/>
      <c r="H58" s="127"/>
      <c r="I58" s="127"/>
      <c r="J58" s="127"/>
      <c r="K58" s="127"/>
      <c r="L58" s="126"/>
      <c r="M58" s="126"/>
      <c r="N58" s="127"/>
      <c r="O58" s="127"/>
      <c r="P58" s="126"/>
      <c r="Q58" s="127"/>
      <c r="R58" s="127"/>
      <c r="S58" s="126"/>
      <c r="T58" s="127"/>
      <c r="U58" s="127"/>
      <c r="V58" s="126"/>
      <c r="W58" s="127"/>
      <c r="X58" s="127"/>
      <c r="Y58" s="126"/>
      <c r="Z58" s="127"/>
      <c r="AA58" s="127"/>
      <c r="AB58" s="127"/>
    </row>
    <row r="59" spans="1:28" ht="15.75" x14ac:dyDescent="0.25">
      <c r="A59" s="126"/>
      <c r="B59" s="127"/>
      <c r="C59" s="127"/>
      <c r="D59" s="127"/>
      <c r="E59" s="127"/>
      <c r="F59" s="127"/>
      <c r="G59" s="130"/>
      <c r="H59" s="127"/>
      <c r="I59" s="127"/>
      <c r="J59" s="127"/>
      <c r="K59" s="127"/>
      <c r="L59" s="126"/>
      <c r="M59" s="126"/>
      <c r="N59" s="127"/>
      <c r="O59" s="127"/>
      <c r="P59" s="126"/>
      <c r="Q59" s="127"/>
      <c r="R59" s="127"/>
      <c r="S59" s="126"/>
      <c r="T59" s="127"/>
      <c r="U59" s="127"/>
      <c r="V59" s="126"/>
      <c r="W59" s="127"/>
      <c r="X59" s="127"/>
      <c r="Y59" s="126"/>
      <c r="Z59" s="127"/>
      <c r="AA59" s="127"/>
      <c r="AB59" s="127"/>
    </row>
    <row r="60" spans="1:28" ht="15.75" x14ac:dyDescent="0.25">
      <c r="A60" s="126"/>
      <c r="B60" s="127"/>
      <c r="C60" s="127"/>
      <c r="D60" s="127"/>
      <c r="E60" s="127"/>
      <c r="F60" s="127"/>
      <c r="G60" s="126"/>
      <c r="H60" s="127"/>
      <c r="I60" s="127"/>
      <c r="J60" s="127"/>
      <c r="K60" s="127"/>
      <c r="L60" s="126"/>
      <c r="M60" s="126"/>
      <c r="N60" s="127"/>
      <c r="O60" s="127"/>
      <c r="P60" s="126"/>
      <c r="Q60" s="127"/>
      <c r="R60" s="127"/>
      <c r="S60" s="126"/>
      <c r="T60" s="127"/>
      <c r="U60" s="127"/>
      <c r="V60" s="126"/>
      <c r="W60" s="127"/>
      <c r="X60" s="127"/>
      <c r="Y60" s="126"/>
      <c r="Z60" s="127"/>
      <c r="AA60" s="127"/>
      <c r="AB60" s="127"/>
    </row>
    <row r="61" spans="1:28" ht="15.75" x14ac:dyDescent="0.25">
      <c r="A61" s="126"/>
      <c r="B61" s="127"/>
      <c r="C61" s="127"/>
      <c r="D61" s="127"/>
      <c r="E61" s="127"/>
      <c r="F61" s="127"/>
      <c r="G61" s="126"/>
      <c r="H61" s="127"/>
      <c r="I61" s="127"/>
      <c r="J61" s="127"/>
      <c r="K61" s="127"/>
      <c r="L61" s="126"/>
      <c r="M61" s="126"/>
      <c r="N61" s="127"/>
      <c r="O61" s="127"/>
      <c r="P61" s="126"/>
      <c r="Q61" s="127"/>
      <c r="R61" s="127"/>
      <c r="S61" s="126"/>
      <c r="T61" s="127"/>
      <c r="U61" s="127"/>
      <c r="V61" s="126"/>
      <c r="W61" s="127"/>
      <c r="X61" s="127"/>
      <c r="Y61" s="126"/>
      <c r="Z61" s="127"/>
      <c r="AA61" s="127"/>
      <c r="AB61" s="127"/>
    </row>
    <row r="62" spans="1:28" ht="15.75" x14ac:dyDescent="0.25">
      <c r="A62" s="126"/>
      <c r="B62" s="127"/>
      <c r="C62" s="127"/>
      <c r="D62" s="127"/>
      <c r="E62" s="127"/>
      <c r="F62" s="127"/>
      <c r="G62" s="126"/>
      <c r="H62" s="127"/>
      <c r="I62" s="127"/>
      <c r="J62" s="127"/>
      <c r="K62" s="127"/>
      <c r="L62" s="126"/>
      <c r="M62" s="126"/>
      <c r="N62" s="127"/>
      <c r="O62" s="127"/>
      <c r="P62" s="126"/>
      <c r="Q62" s="127"/>
      <c r="R62" s="127"/>
      <c r="S62" s="126"/>
      <c r="T62" s="127"/>
      <c r="U62" s="127"/>
      <c r="V62" s="126"/>
      <c r="W62" s="127"/>
      <c r="X62" s="127"/>
      <c r="Y62" s="126"/>
      <c r="Z62" s="127"/>
      <c r="AA62" s="127"/>
      <c r="AB62" s="127"/>
    </row>
    <row r="63" spans="1:28" ht="15.75" x14ac:dyDescent="0.25">
      <c r="A63" s="126"/>
      <c r="B63" s="127"/>
      <c r="C63" s="127"/>
      <c r="D63" s="127"/>
      <c r="E63" s="127"/>
      <c r="F63" s="127"/>
      <c r="G63" s="126"/>
      <c r="H63" s="127"/>
      <c r="I63" s="127"/>
      <c r="J63" s="127"/>
      <c r="K63" s="127"/>
      <c r="L63" s="126"/>
      <c r="M63" s="126"/>
      <c r="N63" s="127"/>
      <c r="O63" s="127"/>
      <c r="P63" s="126"/>
      <c r="Q63" s="127"/>
      <c r="R63" s="127"/>
      <c r="S63" s="126"/>
      <c r="T63" s="127"/>
      <c r="U63" s="127"/>
      <c r="V63" s="126"/>
      <c r="W63" s="127"/>
      <c r="X63" s="127"/>
      <c r="Y63" s="126"/>
      <c r="Z63" s="127"/>
      <c r="AA63" s="127"/>
      <c r="AB63" s="127"/>
    </row>
    <row r="64" spans="1:28" ht="15.75" x14ac:dyDescent="0.25">
      <c r="A64" s="126"/>
      <c r="B64" s="127"/>
      <c r="C64" s="127"/>
      <c r="D64" s="127"/>
      <c r="E64" s="127"/>
      <c r="F64" s="127"/>
      <c r="G64" s="126"/>
      <c r="H64" s="127"/>
      <c r="I64" s="127"/>
      <c r="J64" s="127"/>
      <c r="K64" s="127"/>
      <c r="L64" s="126"/>
      <c r="M64" s="126"/>
      <c r="N64" s="127"/>
      <c r="O64" s="127"/>
      <c r="P64" s="126"/>
      <c r="Q64" s="127"/>
      <c r="R64" s="127"/>
      <c r="S64" s="126"/>
      <c r="T64" s="127"/>
      <c r="U64" s="127"/>
      <c r="V64" s="126"/>
      <c r="W64" s="127"/>
      <c r="X64" s="127"/>
      <c r="Y64" s="126"/>
      <c r="Z64" s="127"/>
      <c r="AA64" s="127"/>
      <c r="AB64" s="127"/>
    </row>
    <row r="65" spans="1:28" ht="15.75" x14ac:dyDescent="0.25">
      <c r="A65" s="126"/>
      <c r="B65" s="127"/>
      <c r="C65" s="127"/>
      <c r="D65" s="127"/>
      <c r="E65" s="127"/>
      <c r="F65" s="127"/>
      <c r="G65" s="126"/>
      <c r="H65" s="127"/>
      <c r="I65" s="127"/>
      <c r="J65" s="127"/>
      <c r="K65" s="127"/>
      <c r="L65" s="126"/>
      <c r="M65" s="126"/>
      <c r="N65" s="127"/>
      <c r="O65" s="127"/>
      <c r="P65" s="126"/>
      <c r="Q65" s="127"/>
      <c r="R65" s="127"/>
      <c r="S65" s="126"/>
      <c r="T65" s="127"/>
      <c r="U65" s="127"/>
      <c r="V65" s="126"/>
      <c r="W65" s="127"/>
      <c r="X65" s="127"/>
      <c r="Y65" s="126"/>
      <c r="Z65" s="127"/>
      <c r="AA65" s="127"/>
      <c r="AB65" s="127"/>
    </row>
    <row r="66" spans="1:28" ht="15.75" x14ac:dyDescent="0.25">
      <c r="A66" s="126"/>
      <c r="B66" s="127"/>
      <c r="C66" s="127"/>
      <c r="D66" s="127"/>
      <c r="E66" s="127"/>
      <c r="F66" s="127"/>
      <c r="G66" s="126"/>
      <c r="H66" s="127"/>
      <c r="I66" s="127"/>
      <c r="J66" s="127"/>
      <c r="K66" s="127"/>
      <c r="L66" s="126"/>
      <c r="M66" s="126"/>
      <c r="N66" s="127"/>
      <c r="O66" s="127"/>
      <c r="P66" s="126"/>
      <c r="Q66" s="127"/>
      <c r="R66" s="127"/>
      <c r="S66" s="126"/>
      <c r="T66" s="127"/>
      <c r="U66" s="127"/>
      <c r="V66" s="126"/>
      <c r="W66" s="127"/>
      <c r="X66" s="127"/>
      <c r="Y66" s="126"/>
      <c r="Z66" s="127"/>
      <c r="AA66" s="127"/>
      <c r="AB66" s="127"/>
    </row>
    <row r="67" spans="1:28" ht="15.75" x14ac:dyDescent="0.25">
      <c r="A67" s="126"/>
      <c r="B67" s="127"/>
      <c r="C67" s="127"/>
      <c r="D67" s="127"/>
      <c r="E67" s="127"/>
      <c r="F67" s="127"/>
      <c r="G67" s="126"/>
      <c r="H67" s="127"/>
      <c r="I67" s="127"/>
      <c r="J67" s="127"/>
      <c r="K67" s="127"/>
      <c r="L67" s="126"/>
      <c r="M67" s="126"/>
      <c r="N67" s="127"/>
      <c r="O67" s="127"/>
      <c r="P67" s="126"/>
      <c r="Q67" s="127"/>
      <c r="R67" s="127"/>
      <c r="S67" s="126"/>
      <c r="T67" s="127"/>
      <c r="U67" s="127"/>
      <c r="V67" s="126"/>
      <c r="W67" s="127"/>
      <c r="X67" s="127"/>
      <c r="Y67" s="126"/>
      <c r="Z67" s="127"/>
      <c r="AA67" s="127"/>
      <c r="AB67" s="127"/>
    </row>
    <row r="68" spans="1:28" ht="15.75" x14ac:dyDescent="0.25">
      <c r="A68" s="126"/>
      <c r="B68" s="127"/>
      <c r="C68" s="127"/>
      <c r="D68" s="127"/>
      <c r="E68" s="127"/>
      <c r="F68" s="127"/>
      <c r="G68" s="126"/>
      <c r="H68" s="127"/>
      <c r="I68" s="127"/>
      <c r="J68" s="127"/>
      <c r="K68" s="127"/>
      <c r="L68" s="126"/>
      <c r="M68" s="126"/>
      <c r="N68" s="127"/>
      <c r="O68" s="127"/>
      <c r="P68" s="126"/>
      <c r="Q68" s="127"/>
      <c r="R68" s="127"/>
      <c r="S68" s="126"/>
      <c r="T68" s="127"/>
      <c r="U68" s="127"/>
      <c r="V68" s="126"/>
      <c r="W68" s="127"/>
      <c r="X68" s="127"/>
      <c r="Y68" s="126"/>
      <c r="Z68" s="127"/>
      <c r="AA68" s="127"/>
      <c r="AB68" s="127"/>
    </row>
    <row r="69" spans="1:28" ht="15.75" x14ac:dyDescent="0.25">
      <c r="A69" s="126"/>
      <c r="B69" s="127"/>
      <c r="C69" s="127"/>
      <c r="D69" s="127"/>
      <c r="E69" s="127"/>
      <c r="F69" s="127"/>
      <c r="G69" s="126"/>
      <c r="H69" s="127"/>
      <c r="I69" s="127"/>
      <c r="J69" s="127"/>
      <c r="K69" s="127"/>
      <c r="L69" s="126"/>
      <c r="M69" s="126"/>
      <c r="N69" s="127"/>
      <c r="O69" s="127"/>
      <c r="P69" s="126"/>
      <c r="Q69" s="127"/>
      <c r="R69" s="127"/>
      <c r="S69" s="126"/>
      <c r="T69" s="127"/>
      <c r="U69" s="127"/>
      <c r="V69" s="126"/>
      <c r="W69" s="127"/>
      <c r="X69" s="127"/>
      <c r="Y69" s="126"/>
      <c r="Z69" s="127"/>
      <c r="AA69" s="127"/>
      <c r="AB69" s="127"/>
    </row>
    <row r="70" spans="1:28" ht="15.75" x14ac:dyDescent="0.25">
      <c r="A70" s="126"/>
      <c r="B70" s="127"/>
      <c r="C70" s="127"/>
      <c r="D70" s="127"/>
      <c r="E70" s="127"/>
      <c r="F70" s="127"/>
      <c r="G70" s="126"/>
      <c r="H70" s="127"/>
      <c r="I70" s="127"/>
      <c r="J70" s="127"/>
      <c r="K70" s="127"/>
      <c r="L70" s="126"/>
      <c r="M70" s="126"/>
      <c r="N70" s="127"/>
      <c r="O70" s="127"/>
      <c r="P70" s="126"/>
      <c r="Q70" s="127"/>
      <c r="R70" s="127"/>
      <c r="S70" s="126"/>
      <c r="T70" s="127"/>
      <c r="U70" s="127"/>
      <c r="V70" s="126"/>
      <c r="W70" s="127"/>
      <c r="X70" s="127"/>
      <c r="Y70" s="126"/>
      <c r="Z70" s="127"/>
      <c r="AA70" s="127"/>
      <c r="AB70" s="127"/>
    </row>
    <row r="71" spans="1:28" ht="15.75" x14ac:dyDescent="0.25">
      <c r="A71" s="126"/>
      <c r="B71" s="127"/>
      <c r="C71" s="127"/>
      <c r="D71" s="127"/>
      <c r="E71" s="127"/>
      <c r="F71" s="127"/>
      <c r="G71" s="126"/>
      <c r="H71" s="127"/>
      <c r="I71" s="127"/>
      <c r="J71" s="127"/>
      <c r="K71" s="127"/>
      <c r="L71" s="126"/>
      <c r="M71" s="126"/>
      <c r="N71" s="127"/>
      <c r="O71" s="127"/>
      <c r="P71" s="126"/>
      <c r="Q71" s="127"/>
      <c r="R71" s="127"/>
      <c r="S71" s="126"/>
      <c r="T71" s="127"/>
      <c r="U71" s="127"/>
      <c r="V71" s="126"/>
      <c r="W71" s="127"/>
      <c r="X71" s="127"/>
      <c r="Y71" s="126"/>
      <c r="Z71" s="127"/>
      <c r="AA71" s="127"/>
      <c r="AB71" s="127"/>
    </row>
    <row r="72" spans="1:28" ht="15.75" x14ac:dyDescent="0.25">
      <c r="A72" s="126"/>
      <c r="B72" s="127"/>
      <c r="C72" s="127"/>
      <c r="D72" s="127"/>
      <c r="E72" s="127"/>
      <c r="F72" s="127"/>
      <c r="G72" s="126"/>
      <c r="H72" s="127"/>
      <c r="I72" s="127"/>
      <c r="J72" s="127"/>
      <c r="K72" s="127"/>
      <c r="L72" s="126"/>
      <c r="M72" s="126"/>
      <c r="N72" s="127"/>
      <c r="O72" s="127"/>
      <c r="P72" s="126"/>
      <c r="Q72" s="127"/>
      <c r="R72" s="127"/>
      <c r="S72" s="126"/>
      <c r="T72" s="127"/>
      <c r="U72" s="127"/>
      <c r="V72" s="126"/>
      <c r="W72" s="127"/>
      <c r="X72" s="127"/>
      <c r="Y72" s="126"/>
      <c r="Z72" s="127"/>
      <c r="AA72" s="127"/>
      <c r="AB72" s="127"/>
    </row>
    <row r="73" spans="1:28" ht="15.75" x14ac:dyDescent="0.25">
      <c r="A73" s="126"/>
      <c r="B73" s="127"/>
      <c r="C73" s="127"/>
      <c r="D73" s="127"/>
      <c r="E73" s="127"/>
      <c r="F73" s="127"/>
      <c r="G73" s="126"/>
      <c r="H73" s="127"/>
      <c r="I73" s="127"/>
      <c r="J73" s="127"/>
      <c r="K73" s="127"/>
      <c r="L73" s="126"/>
      <c r="M73" s="126"/>
      <c r="N73" s="127"/>
      <c r="O73" s="127"/>
      <c r="P73" s="126"/>
      <c r="Q73" s="127"/>
      <c r="R73" s="127"/>
      <c r="S73" s="126"/>
      <c r="T73" s="127"/>
      <c r="U73" s="127"/>
      <c r="V73" s="126"/>
      <c r="W73" s="127"/>
      <c r="X73" s="127"/>
      <c r="Y73" s="126"/>
      <c r="Z73" s="127"/>
      <c r="AA73" s="127"/>
      <c r="AB73" s="127"/>
    </row>
    <row r="74" spans="1:28" ht="15.75" x14ac:dyDescent="0.25">
      <c r="A74" s="126"/>
      <c r="B74" s="127"/>
      <c r="C74" s="127"/>
      <c r="D74" s="127"/>
      <c r="E74" s="127"/>
      <c r="F74" s="127"/>
      <c r="G74" s="126"/>
      <c r="H74" s="127"/>
      <c r="I74" s="127"/>
      <c r="J74" s="127"/>
      <c r="K74" s="127"/>
      <c r="L74" s="126"/>
      <c r="M74" s="126"/>
      <c r="N74" s="127"/>
      <c r="O74" s="127"/>
      <c r="P74" s="126"/>
      <c r="Q74" s="127"/>
      <c r="R74" s="127"/>
      <c r="S74" s="126"/>
      <c r="T74" s="127"/>
      <c r="U74" s="127"/>
      <c r="V74" s="126"/>
      <c r="W74" s="127"/>
      <c r="X74" s="127"/>
      <c r="Y74" s="126"/>
      <c r="Z74" s="127"/>
      <c r="AA74" s="127"/>
      <c r="AB74" s="127"/>
    </row>
    <row r="75" spans="1:28" ht="15.75" x14ac:dyDescent="0.25">
      <c r="A75" s="126"/>
      <c r="B75" s="127"/>
      <c r="C75" s="127"/>
      <c r="D75" s="127"/>
      <c r="E75" s="127"/>
      <c r="F75" s="127"/>
      <c r="G75" s="126"/>
      <c r="H75" s="127"/>
      <c r="I75" s="127"/>
      <c r="J75" s="127"/>
      <c r="K75" s="127"/>
      <c r="L75" s="126"/>
      <c r="M75" s="126"/>
      <c r="N75" s="127"/>
      <c r="O75" s="127"/>
      <c r="P75" s="126"/>
      <c r="Q75" s="127"/>
      <c r="R75" s="127"/>
      <c r="S75" s="126"/>
      <c r="T75" s="127"/>
      <c r="U75" s="127"/>
      <c r="V75" s="126"/>
      <c r="W75" s="127"/>
      <c r="X75" s="127"/>
      <c r="Y75" s="126"/>
      <c r="Z75" s="127"/>
      <c r="AA75" s="127"/>
      <c r="AB75" s="127"/>
    </row>
    <row r="76" spans="1:28" ht="15.75" x14ac:dyDescent="0.25">
      <c r="A76" s="126"/>
      <c r="B76" s="127"/>
      <c r="C76" s="127"/>
      <c r="D76" s="127"/>
      <c r="E76" s="127"/>
      <c r="F76" s="127"/>
      <c r="G76" s="126"/>
      <c r="H76" s="127"/>
      <c r="I76" s="127"/>
      <c r="J76" s="127"/>
      <c r="K76" s="127"/>
      <c r="L76" s="126"/>
      <c r="M76" s="126"/>
      <c r="N76" s="127"/>
      <c r="O76" s="127"/>
      <c r="P76" s="126"/>
      <c r="Q76" s="127"/>
      <c r="R76" s="127"/>
      <c r="S76" s="126"/>
      <c r="T76" s="127"/>
      <c r="U76" s="127"/>
      <c r="V76" s="126"/>
      <c r="W76" s="127"/>
      <c r="X76" s="127"/>
      <c r="Y76" s="126"/>
      <c r="Z76" s="127"/>
      <c r="AA76" s="127"/>
      <c r="AB76" s="127"/>
    </row>
    <row r="77" spans="1:28" ht="15.75" x14ac:dyDescent="0.25">
      <c r="A77" s="126"/>
      <c r="B77" s="127"/>
      <c r="C77" s="127"/>
      <c r="D77" s="127"/>
      <c r="E77" s="127"/>
      <c r="F77" s="127"/>
      <c r="G77" s="126"/>
      <c r="H77" s="127"/>
      <c r="I77" s="127"/>
      <c r="J77" s="127"/>
      <c r="K77" s="127"/>
      <c r="L77" s="126"/>
      <c r="M77" s="126"/>
      <c r="N77" s="127"/>
      <c r="O77" s="127"/>
      <c r="P77" s="126"/>
      <c r="Q77" s="127"/>
      <c r="R77" s="127"/>
      <c r="S77" s="126"/>
      <c r="T77" s="127"/>
      <c r="U77" s="127"/>
      <c r="V77" s="126"/>
      <c r="W77" s="127"/>
      <c r="X77" s="127"/>
      <c r="Y77" s="126"/>
      <c r="Z77" s="127"/>
      <c r="AA77" s="127"/>
      <c r="AB77" s="127"/>
    </row>
    <row r="78" spans="1:28" ht="15.75" x14ac:dyDescent="0.25">
      <c r="A78" s="126"/>
      <c r="B78" s="127"/>
      <c r="C78" s="127"/>
      <c r="D78" s="127"/>
      <c r="E78" s="127"/>
      <c r="F78" s="127"/>
      <c r="G78" s="126"/>
      <c r="H78" s="127"/>
      <c r="I78" s="127"/>
      <c r="J78" s="127"/>
      <c r="K78" s="127"/>
      <c r="L78" s="126"/>
      <c r="M78" s="126"/>
      <c r="N78" s="127"/>
      <c r="O78" s="127"/>
      <c r="P78" s="126"/>
      <c r="Q78" s="127"/>
      <c r="R78" s="127"/>
      <c r="S78" s="126"/>
      <c r="T78" s="127"/>
      <c r="U78" s="127"/>
      <c r="V78" s="126"/>
      <c r="W78" s="127"/>
      <c r="X78" s="127"/>
      <c r="Y78" s="126"/>
      <c r="Z78" s="127"/>
      <c r="AA78" s="127"/>
      <c r="AB78" s="127"/>
    </row>
    <row r="79" spans="1:28" ht="15.75" x14ac:dyDescent="0.25">
      <c r="A79" s="126"/>
      <c r="B79" s="127"/>
      <c r="C79" s="127"/>
      <c r="D79" s="127"/>
      <c r="E79" s="127"/>
      <c r="F79" s="127"/>
      <c r="G79" s="126"/>
      <c r="H79" s="127"/>
      <c r="I79" s="127"/>
      <c r="J79" s="127"/>
      <c r="K79" s="127"/>
      <c r="L79" s="126"/>
      <c r="M79" s="126"/>
      <c r="N79" s="127"/>
      <c r="O79" s="127"/>
      <c r="P79" s="126"/>
      <c r="Q79" s="127"/>
      <c r="R79" s="127"/>
      <c r="S79" s="126"/>
      <c r="T79" s="127"/>
      <c r="U79" s="127"/>
      <c r="V79" s="126"/>
      <c r="W79" s="127"/>
      <c r="X79" s="127"/>
      <c r="Y79" s="126"/>
      <c r="Z79" s="127"/>
      <c r="AA79" s="127"/>
      <c r="AB79" s="127"/>
    </row>
    <row r="80" spans="1:28" ht="15.75" x14ac:dyDescent="0.25">
      <c r="A80" s="126"/>
      <c r="B80" s="127"/>
      <c r="C80" s="127"/>
      <c r="D80" s="127"/>
      <c r="E80" s="127"/>
      <c r="F80" s="127"/>
      <c r="G80" s="126"/>
      <c r="H80" s="127"/>
      <c r="I80" s="127"/>
      <c r="J80" s="127"/>
      <c r="K80" s="127"/>
      <c r="L80" s="126"/>
      <c r="M80" s="126"/>
      <c r="N80" s="127"/>
      <c r="O80" s="127"/>
      <c r="P80" s="126"/>
      <c r="Q80" s="127"/>
      <c r="R80" s="127"/>
      <c r="S80" s="126"/>
      <c r="T80" s="127"/>
      <c r="U80" s="127"/>
      <c r="V80" s="126"/>
      <c r="W80" s="127"/>
      <c r="X80" s="127"/>
      <c r="Y80" s="126"/>
      <c r="Z80" s="127"/>
      <c r="AA80" s="127"/>
      <c r="AB80" s="127"/>
    </row>
    <row r="81" spans="1:28" ht="15.75" x14ac:dyDescent="0.25">
      <c r="A81" s="126"/>
      <c r="B81" s="127"/>
      <c r="C81" s="127"/>
      <c r="D81" s="127"/>
      <c r="E81" s="127"/>
      <c r="F81" s="127"/>
      <c r="G81" s="126"/>
      <c r="H81" s="127"/>
      <c r="I81" s="127"/>
      <c r="J81" s="127"/>
      <c r="K81" s="127"/>
      <c r="L81" s="126"/>
      <c r="M81" s="126"/>
      <c r="N81" s="127"/>
      <c r="O81" s="127"/>
      <c r="P81" s="126"/>
      <c r="Q81" s="127"/>
      <c r="R81" s="127"/>
      <c r="S81" s="126"/>
      <c r="T81" s="127"/>
      <c r="U81" s="127"/>
      <c r="V81" s="126"/>
      <c r="W81" s="127"/>
      <c r="X81" s="127"/>
      <c r="Y81" s="126"/>
      <c r="Z81" s="127"/>
      <c r="AA81" s="127"/>
      <c r="AB81" s="127"/>
    </row>
    <row r="82" spans="1:28" ht="15.75" x14ac:dyDescent="0.25">
      <c r="A82" s="126"/>
      <c r="B82" s="127"/>
      <c r="C82" s="127"/>
      <c r="D82" s="127"/>
      <c r="E82" s="127"/>
      <c r="F82" s="127"/>
      <c r="G82" s="126"/>
      <c r="H82" s="127"/>
      <c r="I82" s="127"/>
      <c r="J82" s="127"/>
      <c r="K82" s="127"/>
      <c r="L82" s="126"/>
      <c r="M82" s="126"/>
      <c r="N82" s="127"/>
      <c r="O82" s="127"/>
      <c r="P82" s="126"/>
      <c r="Q82" s="127"/>
      <c r="R82" s="127"/>
      <c r="S82" s="126"/>
      <c r="T82" s="127"/>
      <c r="U82" s="127"/>
      <c r="V82" s="126"/>
      <c r="W82" s="127"/>
      <c r="X82" s="127"/>
      <c r="Y82" s="126"/>
      <c r="Z82" s="127"/>
      <c r="AA82" s="127"/>
      <c r="AB82" s="127"/>
    </row>
    <row r="83" spans="1:28" ht="15.75" x14ac:dyDescent="0.25">
      <c r="A83" s="126"/>
      <c r="B83" s="127"/>
      <c r="C83" s="127"/>
      <c r="D83" s="127"/>
      <c r="E83" s="127"/>
      <c r="F83" s="127"/>
      <c r="G83" s="126"/>
      <c r="H83" s="127"/>
      <c r="I83" s="127"/>
      <c r="J83" s="127"/>
      <c r="K83" s="127"/>
      <c r="L83" s="126"/>
      <c r="M83" s="126"/>
      <c r="N83" s="127"/>
      <c r="O83" s="127"/>
      <c r="P83" s="126"/>
      <c r="Q83" s="127"/>
      <c r="R83" s="127"/>
      <c r="S83" s="126"/>
      <c r="T83" s="127"/>
      <c r="U83" s="127"/>
      <c r="V83" s="126"/>
      <c r="W83" s="127"/>
      <c r="X83" s="127"/>
      <c r="Y83" s="126"/>
      <c r="Z83" s="127"/>
      <c r="AA83" s="127"/>
      <c r="AB83" s="127"/>
    </row>
    <row r="84" spans="1:28" ht="15.75" x14ac:dyDescent="0.25">
      <c r="A84" s="126"/>
      <c r="B84" s="127"/>
      <c r="C84" s="127"/>
      <c r="D84" s="127"/>
      <c r="E84" s="127"/>
      <c r="F84" s="127"/>
      <c r="G84" s="126"/>
      <c r="H84" s="127"/>
      <c r="I84" s="127"/>
      <c r="J84" s="127"/>
      <c r="K84" s="127"/>
      <c r="L84" s="126"/>
      <c r="M84" s="126"/>
      <c r="N84" s="127"/>
      <c r="O84" s="127"/>
      <c r="P84" s="126"/>
      <c r="Q84" s="127"/>
      <c r="R84" s="127"/>
      <c r="S84" s="126"/>
      <c r="T84" s="127"/>
      <c r="U84" s="127"/>
      <c r="V84" s="126"/>
      <c r="W84" s="127"/>
      <c r="X84" s="127"/>
      <c r="Y84" s="126"/>
      <c r="Z84" s="127"/>
      <c r="AA84" s="127"/>
      <c r="AB84" s="127"/>
    </row>
    <row r="85" spans="1:28" ht="15.75" x14ac:dyDescent="0.25">
      <c r="A85" s="126"/>
      <c r="B85" s="127"/>
      <c r="C85" s="127"/>
      <c r="D85" s="127"/>
      <c r="E85" s="127"/>
      <c r="F85" s="127"/>
      <c r="G85" s="126"/>
      <c r="H85" s="127"/>
      <c r="I85" s="127"/>
      <c r="J85" s="127"/>
      <c r="K85" s="127"/>
      <c r="L85" s="126"/>
      <c r="M85" s="126"/>
      <c r="N85" s="127"/>
      <c r="O85" s="127"/>
      <c r="P85" s="126"/>
      <c r="Q85" s="127"/>
      <c r="R85" s="127"/>
      <c r="S85" s="126"/>
      <c r="T85" s="127"/>
      <c r="U85" s="127"/>
      <c r="V85" s="126"/>
      <c r="W85" s="127"/>
      <c r="X85" s="127"/>
      <c r="Y85" s="126"/>
      <c r="Z85" s="127"/>
      <c r="AA85" s="127"/>
      <c r="AB85" s="127"/>
    </row>
    <row r="86" spans="1:28" ht="15.75" x14ac:dyDescent="0.25">
      <c r="A86" s="126"/>
      <c r="B86" s="127"/>
      <c r="C86" s="127"/>
      <c r="D86" s="127"/>
      <c r="E86" s="127"/>
      <c r="F86" s="127"/>
      <c r="G86" s="126"/>
      <c r="H86" s="127"/>
      <c r="I86" s="127"/>
      <c r="J86" s="127"/>
      <c r="K86" s="127"/>
      <c r="L86" s="126"/>
      <c r="M86" s="126"/>
      <c r="N86" s="127"/>
      <c r="O86" s="127"/>
      <c r="P86" s="126"/>
      <c r="Q86" s="127"/>
      <c r="R86" s="127"/>
      <c r="S86" s="126"/>
      <c r="T86" s="127"/>
      <c r="U86" s="127"/>
      <c r="V86" s="126"/>
      <c r="W86" s="127"/>
      <c r="X86" s="127"/>
      <c r="Y86" s="126"/>
      <c r="Z86" s="127"/>
      <c r="AA86" s="127"/>
      <c r="AB86" s="127"/>
    </row>
    <row r="87" spans="1:28" ht="15.75" x14ac:dyDescent="0.25">
      <c r="A87" s="126"/>
      <c r="B87" s="127"/>
      <c r="C87" s="127"/>
      <c r="D87" s="127"/>
      <c r="E87" s="127"/>
      <c r="F87" s="127"/>
      <c r="G87" s="126"/>
      <c r="H87" s="127"/>
      <c r="I87" s="127"/>
      <c r="J87" s="127"/>
      <c r="K87" s="127"/>
      <c r="L87" s="126"/>
      <c r="M87" s="126"/>
      <c r="N87" s="127"/>
      <c r="O87" s="127"/>
      <c r="P87" s="126"/>
      <c r="Q87" s="127"/>
      <c r="R87" s="127"/>
      <c r="S87" s="126"/>
      <c r="T87" s="127"/>
      <c r="U87" s="127"/>
      <c r="V87" s="126"/>
      <c r="W87" s="127"/>
      <c r="X87" s="127"/>
      <c r="Y87" s="126"/>
      <c r="Z87" s="127"/>
      <c r="AA87" s="127"/>
      <c r="AB87" s="127"/>
    </row>
    <row r="88" spans="1:28" ht="15.75" x14ac:dyDescent="0.25">
      <c r="A88" s="126"/>
      <c r="B88" s="127"/>
      <c r="C88" s="127"/>
      <c r="D88" s="127"/>
      <c r="E88" s="127"/>
      <c r="F88" s="127"/>
      <c r="G88" s="126"/>
      <c r="H88" s="127"/>
      <c r="I88" s="127"/>
      <c r="J88" s="127"/>
      <c r="K88" s="127"/>
      <c r="L88" s="126"/>
      <c r="M88" s="126"/>
      <c r="N88" s="127"/>
      <c r="O88" s="127"/>
      <c r="P88" s="126"/>
      <c r="Q88" s="127"/>
      <c r="R88" s="127"/>
      <c r="S88" s="126"/>
      <c r="T88" s="127"/>
      <c r="U88" s="127"/>
      <c r="V88" s="126"/>
      <c r="W88" s="127"/>
      <c r="X88" s="127"/>
      <c r="Y88" s="126"/>
      <c r="Z88" s="127"/>
      <c r="AA88" s="127"/>
      <c r="AB88" s="127"/>
    </row>
    <row r="89" spans="1:28" ht="15.75" x14ac:dyDescent="0.25">
      <c r="A89" s="126"/>
      <c r="B89" s="127"/>
      <c r="C89" s="127"/>
      <c r="D89" s="127"/>
      <c r="E89" s="127"/>
      <c r="F89" s="127"/>
      <c r="G89" s="126"/>
      <c r="H89" s="127"/>
      <c r="I89" s="127"/>
      <c r="J89" s="127"/>
      <c r="K89" s="127"/>
      <c r="L89" s="126"/>
      <c r="M89" s="126"/>
      <c r="N89" s="127"/>
      <c r="O89" s="127"/>
      <c r="P89" s="126"/>
      <c r="Q89" s="127"/>
      <c r="R89" s="127"/>
      <c r="S89" s="126"/>
      <c r="T89" s="127"/>
      <c r="U89" s="127"/>
      <c r="V89" s="126"/>
      <c r="W89" s="127"/>
      <c r="X89" s="127"/>
      <c r="Y89" s="126"/>
      <c r="Z89" s="127"/>
      <c r="AA89" s="127"/>
      <c r="AB89" s="127"/>
    </row>
    <row r="90" spans="1:28" ht="15.75" x14ac:dyDescent="0.25">
      <c r="A90" s="126"/>
      <c r="B90" s="127"/>
      <c r="C90" s="127"/>
      <c r="D90" s="127"/>
      <c r="E90" s="127"/>
      <c r="F90" s="127"/>
      <c r="G90" s="126"/>
      <c r="H90" s="127"/>
      <c r="I90" s="127"/>
      <c r="J90" s="127"/>
      <c r="K90" s="127"/>
      <c r="L90" s="126"/>
      <c r="M90" s="126"/>
      <c r="N90" s="127"/>
      <c r="O90" s="127"/>
      <c r="P90" s="126"/>
      <c r="Q90" s="127"/>
      <c r="R90" s="127"/>
      <c r="S90" s="126"/>
      <c r="T90" s="127"/>
      <c r="U90" s="127"/>
      <c r="V90" s="126"/>
      <c r="W90" s="127"/>
      <c r="X90" s="127"/>
      <c r="Y90" s="126"/>
      <c r="Z90" s="127"/>
      <c r="AA90" s="127"/>
      <c r="AB90" s="127"/>
    </row>
    <row r="91" spans="1:28" ht="15.75" x14ac:dyDescent="0.25">
      <c r="A91" s="126"/>
      <c r="B91" s="127"/>
      <c r="C91" s="127"/>
      <c r="D91" s="127"/>
      <c r="E91" s="127"/>
      <c r="F91" s="127"/>
      <c r="G91" s="126"/>
      <c r="H91" s="127"/>
      <c r="I91" s="127"/>
      <c r="J91" s="127"/>
      <c r="K91" s="127"/>
      <c r="L91" s="126"/>
      <c r="M91" s="126"/>
      <c r="N91" s="127"/>
      <c r="O91" s="127"/>
      <c r="P91" s="126"/>
      <c r="Q91" s="127"/>
      <c r="R91" s="127"/>
      <c r="S91" s="126"/>
      <c r="T91" s="127"/>
      <c r="U91" s="127"/>
      <c r="V91" s="126"/>
      <c r="W91" s="127"/>
      <c r="X91" s="127"/>
      <c r="Y91" s="126"/>
      <c r="Z91" s="127"/>
      <c r="AA91" s="127"/>
      <c r="AB91" s="127"/>
    </row>
    <row r="92" spans="1:28" ht="15.75" x14ac:dyDescent="0.25">
      <c r="A92" s="126"/>
      <c r="B92" s="127"/>
      <c r="C92" s="127"/>
      <c r="D92" s="127"/>
      <c r="E92" s="127"/>
      <c r="F92" s="127"/>
      <c r="G92" s="126"/>
      <c r="H92" s="127"/>
      <c r="I92" s="127"/>
      <c r="J92" s="127"/>
      <c r="K92" s="127"/>
      <c r="L92" s="126"/>
      <c r="M92" s="126"/>
      <c r="N92" s="127"/>
      <c r="O92" s="127"/>
      <c r="P92" s="126"/>
      <c r="Q92" s="127"/>
      <c r="R92" s="127"/>
      <c r="S92" s="126"/>
      <c r="T92" s="127"/>
      <c r="U92" s="127"/>
      <c r="V92" s="126"/>
      <c r="W92" s="127"/>
      <c r="X92" s="127"/>
      <c r="Y92" s="126"/>
      <c r="Z92" s="127"/>
      <c r="AA92" s="127"/>
      <c r="AB92" s="127"/>
    </row>
    <row r="93" spans="1:28" ht="15.75" x14ac:dyDescent="0.25">
      <c r="A93" s="126"/>
      <c r="B93" s="127"/>
      <c r="C93" s="127"/>
      <c r="D93" s="127"/>
      <c r="E93" s="127"/>
      <c r="F93" s="127"/>
      <c r="G93" s="126"/>
      <c r="H93" s="127"/>
      <c r="I93" s="127"/>
      <c r="J93" s="127"/>
      <c r="K93" s="127"/>
      <c r="L93" s="126"/>
      <c r="M93" s="126"/>
      <c r="N93" s="127"/>
      <c r="O93" s="127"/>
      <c r="P93" s="126"/>
      <c r="Q93" s="127"/>
      <c r="R93" s="127"/>
      <c r="S93" s="126"/>
      <c r="T93" s="127"/>
      <c r="U93" s="127"/>
      <c r="V93" s="126"/>
      <c r="W93" s="127"/>
      <c r="X93" s="127"/>
      <c r="Y93" s="126"/>
      <c r="Z93" s="127"/>
      <c r="AA93" s="127"/>
      <c r="AB93" s="127"/>
    </row>
    <row r="94" spans="1:28" ht="15.75" x14ac:dyDescent="0.25">
      <c r="A94" s="126"/>
      <c r="B94" s="127"/>
      <c r="C94" s="127"/>
      <c r="D94" s="127"/>
      <c r="E94" s="127"/>
      <c r="F94" s="127"/>
      <c r="G94" s="126"/>
      <c r="H94" s="127"/>
      <c r="I94" s="127"/>
      <c r="J94" s="127"/>
      <c r="K94" s="127"/>
      <c r="L94" s="126"/>
      <c r="M94" s="126"/>
      <c r="N94" s="127"/>
      <c r="O94" s="127"/>
      <c r="P94" s="126"/>
      <c r="Q94" s="127"/>
      <c r="R94" s="127"/>
      <c r="S94" s="126"/>
      <c r="T94" s="127"/>
      <c r="U94" s="127"/>
      <c r="V94" s="126"/>
      <c r="W94" s="127"/>
      <c r="X94" s="127"/>
      <c r="Y94" s="126"/>
      <c r="Z94" s="127"/>
      <c r="AA94" s="127"/>
      <c r="AB94" s="127"/>
    </row>
    <row r="95" spans="1:28" ht="15.75" x14ac:dyDescent="0.25">
      <c r="A95" s="126"/>
      <c r="B95" s="127"/>
      <c r="C95" s="127"/>
      <c r="D95" s="127"/>
      <c r="E95" s="127"/>
      <c r="F95" s="127"/>
      <c r="G95" s="126"/>
      <c r="H95" s="127"/>
      <c r="I95" s="127"/>
      <c r="J95" s="127"/>
      <c r="K95" s="127"/>
      <c r="L95" s="126"/>
      <c r="M95" s="126"/>
      <c r="N95" s="127"/>
      <c r="O95" s="127"/>
      <c r="P95" s="126"/>
      <c r="Q95" s="127"/>
      <c r="R95" s="127"/>
      <c r="S95" s="126"/>
      <c r="T95" s="127"/>
      <c r="U95" s="127"/>
      <c r="V95" s="126"/>
      <c r="W95" s="127"/>
      <c r="X95" s="127"/>
      <c r="Y95" s="126"/>
      <c r="Z95" s="127"/>
      <c r="AA95" s="127"/>
      <c r="AB95" s="127"/>
    </row>
    <row r="96" spans="1:28" ht="15.75" x14ac:dyDescent="0.25">
      <c r="A96" s="126"/>
      <c r="B96" s="127"/>
      <c r="C96" s="127"/>
      <c r="D96" s="127"/>
      <c r="E96" s="127"/>
      <c r="F96" s="127"/>
      <c r="G96" s="126"/>
      <c r="H96" s="127"/>
      <c r="I96" s="127"/>
      <c r="J96" s="127"/>
      <c r="K96" s="127"/>
      <c r="L96" s="126"/>
      <c r="M96" s="126"/>
      <c r="N96" s="127"/>
      <c r="O96" s="127"/>
      <c r="P96" s="126"/>
      <c r="Q96" s="127"/>
      <c r="R96" s="127"/>
      <c r="S96" s="126"/>
      <c r="T96" s="127"/>
      <c r="U96" s="127"/>
      <c r="V96" s="126"/>
      <c r="W96" s="127"/>
      <c r="X96" s="127"/>
      <c r="Y96" s="126"/>
      <c r="Z96" s="127"/>
      <c r="AA96" s="127"/>
      <c r="AB96" s="127"/>
    </row>
    <row r="97" spans="1:28" ht="15.75" x14ac:dyDescent="0.25">
      <c r="A97" s="126"/>
      <c r="B97" s="127"/>
      <c r="C97" s="127"/>
      <c r="D97" s="127"/>
      <c r="E97" s="127"/>
      <c r="F97" s="127"/>
      <c r="G97" s="126"/>
      <c r="H97" s="127"/>
      <c r="I97" s="127"/>
      <c r="J97" s="127"/>
      <c r="K97" s="127"/>
      <c r="L97" s="126"/>
      <c r="M97" s="126"/>
      <c r="N97" s="127"/>
      <c r="O97" s="127"/>
      <c r="P97" s="126"/>
      <c r="Q97" s="127"/>
      <c r="R97" s="127"/>
      <c r="S97" s="126"/>
      <c r="T97" s="127"/>
      <c r="U97" s="127"/>
      <c r="V97" s="126"/>
      <c r="W97" s="127"/>
      <c r="X97" s="127"/>
      <c r="Y97" s="126"/>
      <c r="Z97" s="127"/>
      <c r="AA97" s="127"/>
      <c r="AB97" s="127"/>
    </row>
    <row r="98" spans="1:28" ht="15.75" x14ac:dyDescent="0.25">
      <c r="A98" s="126"/>
      <c r="B98" s="127"/>
      <c r="C98" s="127"/>
      <c r="D98" s="127"/>
      <c r="E98" s="127"/>
      <c r="F98" s="127"/>
      <c r="G98" s="126"/>
      <c r="H98" s="127"/>
      <c r="I98" s="127"/>
      <c r="J98" s="127"/>
      <c r="K98" s="127"/>
      <c r="L98" s="126"/>
      <c r="M98" s="126"/>
      <c r="N98" s="127"/>
      <c r="O98" s="127"/>
      <c r="P98" s="126"/>
      <c r="Q98" s="127"/>
      <c r="R98" s="127"/>
      <c r="S98" s="126"/>
      <c r="T98" s="127"/>
      <c r="U98" s="127"/>
      <c r="V98" s="126"/>
      <c r="W98" s="127"/>
      <c r="X98" s="127"/>
      <c r="Y98" s="126"/>
      <c r="Z98" s="127"/>
      <c r="AA98" s="127"/>
      <c r="AB98" s="127"/>
    </row>
    <row r="99" spans="1:28" ht="15.75" x14ac:dyDescent="0.25">
      <c r="A99" s="126"/>
      <c r="B99" s="127"/>
      <c r="C99" s="127"/>
      <c r="D99" s="127"/>
      <c r="E99" s="127"/>
      <c r="F99" s="127"/>
      <c r="G99" s="126"/>
      <c r="H99" s="127"/>
      <c r="I99" s="127"/>
      <c r="J99" s="127"/>
      <c r="K99" s="127"/>
      <c r="L99" s="126"/>
      <c r="M99" s="126"/>
      <c r="N99" s="127"/>
      <c r="O99" s="127"/>
      <c r="P99" s="126"/>
      <c r="Q99" s="127"/>
      <c r="R99" s="127"/>
      <c r="S99" s="126"/>
      <c r="T99" s="127"/>
      <c r="U99" s="127"/>
      <c r="V99" s="126"/>
      <c r="W99" s="127"/>
      <c r="X99" s="127"/>
      <c r="Y99" s="126"/>
      <c r="Z99" s="127"/>
      <c r="AA99" s="127"/>
      <c r="AB99" s="127"/>
    </row>
    <row r="100" spans="1:28" ht="15.75" x14ac:dyDescent="0.25">
      <c r="A100" s="126"/>
      <c r="B100" s="127"/>
      <c r="C100" s="127"/>
      <c r="D100" s="127"/>
      <c r="E100" s="127"/>
      <c r="F100" s="127"/>
      <c r="G100" s="126"/>
      <c r="H100" s="127"/>
      <c r="I100" s="127"/>
      <c r="J100" s="127"/>
      <c r="K100" s="127"/>
      <c r="L100" s="126"/>
      <c r="M100" s="126"/>
      <c r="N100" s="127"/>
      <c r="O100" s="127"/>
      <c r="P100" s="126"/>
      <c r="Q100" s="127"/>
      <c r="R100" s="127"/>
      <c r="S100" s="126"/>
      <c r="T100" s="127"/>
      <c r="U100" s="127"/>
      <c r="V100" s="126"/>
      <c r="W100" s="127"/>
      <c r="X100" s="127"/>
      <c r="Y100" s="126"/>
      <c r="Z100" s="127"/>
      <c r="AA100" s="127"/>
      <c r="AB100" s="127"/>
    </row>
    <row r="101" spans="1:28" ht="15.75" x14ac:dyDescent="0.25">
      <c r="A101" s="126"/>
      <c r="B101" s="127"/>
      <c r="C101" s="127"/>
      <c r="D101" s="127"/>
      <c r="E101" s="127"/>
      <c r="F101" s="127"/>
      <c r="G101" s="126"/>
      <c r="H101" s="127"/>
      <c r="I101" s="127"/>
      <c r="J101" s="127"/>
      <c r="K101" s="127"/>
      <c r="L101" s="126"/>
      <c r="M101" s="126"/>
      <c r="N101" s="127"/>
      <c r="O101" s="127"/>
      <c r="P101" s="126"/>
      <c r="Q101" s="127"/>
      <c r="R101" s="127"/>
      <c r="S101" s="126"/>
      <c r="T101" s="127"/>
      <c r="U101" s="127"/>
      <c r="V101" s="126"/>
      <c r="W101" s="127"/>
      <c r="X101" s="127"/>
      <c r="Y101" s="126"/>
      <c r="Z101" s="127"/>
      <c r="AA101" s="127"/>
      <c r="AB101" s="127"/>
    </row>
    <row r="102" spans="1:28" x14ac:dyDescent="0.2">
      <c r="A102" s="129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</row>
    <row r="103" spans="1:28" x14ac:dyDescent="0.2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</row>
    <row r="104" spans="1:28" x14ac:dyDescent="0.2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</row>
    <row r="105" spans="1:28" x14ac:dyDescent="0.2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</row>
    <row r="106" spans="1:28" x14ac:dyDescent="0.2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</row>
    <row r="107" spans="1:28" x14ac:dyDescent="0.2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7"/>
      <c r="V107" s="127"/>
      <c r="W107" s="127"/>
      <c r="X107" s="127"/>
      <c r="Y107" s="12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topLeftCell="C1" zoomScale="85" zoomScaleNormal="85" workbookViewId="0">
      <selection activeCell="G25" sqref="G25"/>
    </sheetView>
  </sheetViews>
  <sheetFormatPr defaultRowHeight="15.75" x14ac:dyDescent="0.2"/>
  <cols>
    <col min="1" max="1" width="9.33203125" style="27"/>
    <col min="2" max="2" width="13.5" style="27" customWidth="1"/>
    <col min="3" max="3" width="72.1640625" style="27" customWidth="1"/>
    <col min="4" max="4" width="12.33203125" style="27" customWidth="1"/>
    <col min="5" max="5" width="9.33203125" style="27" customWidth="1"/>
    <col min="6" max="6" width="17" style="27" customWidth="1"/>
    <col min="7" max="7" width="47" style="27" customWidth="1"/>
    <col min="8" max="8" width="14.5" style="27" customWidth="1"/>
    <col min="9" max="9" width="9.33203125" style="27"/>
    <col min="10" max="10" width="74.6640625" style="27" customWidth="1"/>
    <col min="11" max="257" width="9.33203125" style="27"/>
    <col min="258" max="258" width="13.5" style="27" customWidth="1"/>
    <col min="259" max="259" width="72.1640625" style="27" customWidth="1"/>
    <col min="260" max="260" width="12.33203125" style="27" customWidth="1"/>
    <col min="261" max="261" width="9.33203125" style="27" customWidth="1"/>
    <col min="262" max="262" width="17" style="27" customWidth="1"/>
    <col min="263" max="263" width="47" style="27" customWidth="1"/>
    <col min="264" max="264" width="14.5" style="27" customWidth="1"/>
    <col min="265" max="265" width="9.33203125" style="27"/>
    <col min="266" max="266" width="74.6640625" style="27" customWidth="1"/>
    <col min="267" max="513" width="9.33203125" style="27"/>
    <col min="514" max="514" width="13.5" style="27" customWidth="1"/>
    <col min="515" max="515" width="72.1640625" style="27" customWidth="1"/>
    <col min="516" max="516" width="12.33203125" style="27" customWidth="1"/>
    <col min="517" max="517" width="9.33203125" style="27" customWidth="1"/>
    <col min="518" max="518" width="17" style="27" customWidth="1"/>
    <col min="519" max="519" width="47" style="27" customWidth="1"/>
    <col min="520" max="520" width="14.5" style="27" customWidth="1"/>
    <col min="521" max="521" width="9.33203125" style="27"/>
    <col min="522" max="522" width="74.6640625" style="27" customWidth="1"/>
    <col min="523" max="769" width="9.33203125" style="27"/>
    <col min="770" max="770" width="13.5" style="27" customWidth="1"/>
    <col min="771" max="771" width="72.1640625" style="27" customWidth="1"/>
    <col min="772" max="772" width="12.33203125" style="27" customWidth="1"/>
    <col min="773" max="773" width="9.33203125" style="27" customWidth="1"/>
    <col min="774" max="774" width="17" style="27" customWidth="1"/>
    <col min="775" max="775" width="47" style="27" customWidth="1"/>
    <col min="776" max="776" width="14.5" style="27" customWidth="1"/>
    <col min="777" max="777" width="9.33203125" style="27"/>
    <col min="778" max="778" width="74.6640625" style="27" customWidth="1"/>
    <col min="779" max="1025" width="9.33203125" style="27"/>
    <col min="1026" max="1026" width="13.5" style="27" customWidth="1"/>
    <col min="1027" max="1027" width="72.1640625" style="27" customWidth="1"/>
    <col min="1028" max="1028" width="12.33203125" style="27" customWidth="1"/>
    <col min="1029" max="1029" width="9.33203125" style="27" customWidth="1"/>
    <col min="1030" max="1030" width="17" style="27" customWidth="1"/>
    <col min="1031" max="1031" width="47" style="27" customWidth="1"/>
    <col min="1032" max="1032" width="14.5" style="27" customWidth="1"/>
    <col min="1033" max="1033" width="9.33203125" style="27"/>
    <col min="1034" max="1034" width="74.6640625" style="27" customWidth="1"/>
    <col min="1035" max="1281" width="9.33203125" style="27"/>
    <col min="1282" max="1282" width="13.5" style="27" customWidth="1"/>
    <col min="1283" max="1283" width="72.1640625" style="27" customWidth="1"/>
    <col min="1284" max="1284" width="12.33203125" style="27" customWidth="1"/>
    <col min="1285" max="1285" width="9.33203125" style="27" customWidth="1"/>
    <col min="1286" max="1286" width="17" style="27" customWidth="1"/>
    <col min="1287" max="1287" width="47" style="27" customWidth="1"/>
    <col min="1288" max="1288" width="14.5" style="27" customWidth="1"/>
    <col min="1289" max="1289" width="9.33203125" style="27"/>
    <col min="1290" max="1290" width="74.6640625" style="27" customWidth="1"/>
    <col min="1291" max="1537" width="9.33203125" style="27"/>
    <col min="1538" max="1538" width="13.5" style="27" customWidth="1"/>
    <col min="1539" max="1539" width="72.1640625" style="27" customWidth="1"/>
    <col min="1540" max="1540" width="12.33203125" style="27" customWidth="1"/>
    <col min="1541" max="1541" width="9.33203125" style="27" customWidth="1"/>
    <col min="1542" max="1542" width="17" style="27" customWidth="1"/>
    <col min="1543" max="1543" width="47" style="27" customWidth="1"/>
    <col min="1544" max="1544" width="14.5" style="27" customWidth="1"/>
    <col min="1545" max="1545" width="9.33203125" style="27"/>
    <col min="1546" max="1546" width="74.6640625" style="27" customWidth="1"/>
    <col min="1547" max="1793" width="9.33203125" style="27"/>
    <col min="1794" max="1794" width="13.5" style="27" customWidth="1"/>
    <col min="1795" max="1795" width="72.1640625" style="27" customWidth="1"/>
    <col min="1796" max="1796" width="12.33203125" style="27" customWidth="1"/>
    <col min="1797" max="1797" width="9.33203125" style="27" customWidth="1"/>
    <col min="1798" max="1798" width="17" style="27" customWidth="1"/>
    <col min="1799" max="1799" width="47" style="27" customWidth="1"/>
    <col min="1800" max="1800" width="14.5" style="27" customWidth="1"/>
    <col min="1801" max="1801" width="9.33203125" style="27"/>
    <col min="1802" max="1802" width="74.6640625" style="27" customWidth="1"/>
    <col min="1803" max="2049" width="9.33203125" style="27"/>
    <col min="2050" max="2050" width="13.5" style="27" customWidth="1"/>
    <col min="2051" max="2051" width="72.1640625" style="27" customWidth="1"/>
    <col min="2052" max="2052" width="12.33203125" style="27" customWidth="1"/>
    <col min="2053" max="2053" width="9.33203125" style="27" customWidth="1"/>
    <col min="2054" max="2054" width="17" style="27" customWidth="1"/>
    <col min="2055" max="2055" width="47" style="27" customWidth="1"/>
    <col min="2056" max="2056" width="14.5" style="27" customWidth="1"/>
    <col min="2057" max="2057" width="9.33203125" style="27"/>
    <col min="2058" max="2058" width="74.6640625" style="27" customWidth="1"/>
    <col min="2059" max="2305" width="9.33203125" style="27"/>
    <col min="2306" max="2306" width="13.5" style="27" customWidth="1"/>
    <col min="2307" max="2307" width="72.1640625" style="27" customWidth="1"/>
    <col min="2308" max="2308" width="12.33203125" style="27" customWidth="1"/>
    <col min="2309" max="2309" width="9.33203125" style="27" customWidth="1"/>
    <col min="2310" max="2310" width="17" style="27" customWidth="1"/>
    <col min="2311" max="2311" width="47" style="27" customWidth="1"/>
    <col min="2312" max="2312" width="14.5" style="27" customWidth="1"/>
    <col min="2313" max="2313" width="9.33203125" style="27"/>
    <col min="2314" max="2314" width="74.6640625" style="27" customWidth="1"/>
    <col min="2315" max="2561" width="9.33203125" style="27"/>
    <col min="2562" max="2562" width="13.5" style="27" customWidth="1"/>
    <col min="2563" max="2563" width="72.1640625" style="27" customWidth="1"/>
    <col min="2564" max="2564" width="12.33203125" style="27" customWidth="1"/>
    <col min="2565" max="2565" width="9.33203125" style="27" customWidth="1"/>
    <col min="2566" max="2566" width="17" style="27" customWidth="1"/>
    <col min="2567" max="2567" width="47" style="27" customWidth="1"/>
    <col min="2568" max="2568" width="14.5" style="27" customWidth="1"/>
    <col min="2569" max="2569" width="9.33203125" style="27"/>
    <col min="2570" max="2570" width="74.6640625" style="27" customWidth="1"/>
    <col min="2571" max="2817" width="9.33203125" style="27"/>
    <col min="2818" max="2818" width="13.5" style="27" customWidth="1"/>
    <col min="2819" max="2819" width="72.1640625" style="27" customWidth="1"/>
    <col min="2820" max="2820" width="12.33203125" style="27" customWidth="1"/>
    <col min="2821" max="2821" width="9.33203125" style="27" customWidth="1"/>
    <col min="2822" max="2822" width="17" style="27" customWidth="1"/>
    <col min="2823" max="2823" width="47" style="27" customWidth="1"/>
    <col min="2824" max="2824" width="14.5" style="27" customWidth="1"/>
    <col min="2825" max="2825" width="9.33203125" style="27"/>
    <col min="2826" max="2826" width="74.6640625" style="27" customWidth="1"/>
    <col min="2827" max="3073" width="9.33203125" style="27"/>
    <col min="3074" max="3074" width="13.5" style="27" customWidth="1"/>
    <col min="3075" max="3075" width="72.1640625" style="27" customWidth="1"/>
    <col min="3076" max="3076" width="12.33203125" style="27" customWidth="1"/>
    <col min="3077" max="3077" width="9.33203125" style="27" customWidth="1"/>
    <col min="3078" max="3078" width="17" style="27" customWidth="1"/>
    <col min="3079" max="3079" width="47" style="27" customWidth="1"/>
    <col min="3080" max="3080" width="14.5" style="27" customWidth="1"/>
    <col min="3081" max="3081" width="9.33203125" style="27"/>
    <col min="3082" max="3082" width="74.6640625" style="27" customWidth="1"/>
    <col min="3083" max="3329" width="9.33203125" style="27"/>
    <col min="3330" max="3330" width="13.5" style="27" customWidth="1"/>
    <col min="3331" max="3331" width="72.1640625" style="27" customWidth="1"/>
    <col min="3332" max="3332" width="12.33203125" style="27" customWidth="1"/>
    <col min="3333" max="3333" width="9.33203125" style="27" customWidth="1"/>
    <col min="3334" max="3334" width="17" style="27" customWidth="1"/>
    <col min="3335" max="3335" width="47" style="27" customWidth="1"/>
    <col min="3336" max="3336" width="14.5" style="27" customWidth="1"/>
    <col min="3337" max="3337" width="9.33203125" style="27"/>
    <col min="3338" max="3338" width="74.6640625" style="27" customWidth="1"/>
    <col min="3339" max="3585" width="9.33203125" style="27"/>
    <col min="3586" max="3586" width="13.5" style="27" customWidth="1"/>
    <col min="3587" max="3587" width="72.1640625" style="27" customWidth="1"/>
    <col min="3588" max="3588" width="12.33203125" style="27" customWidth="1"/>
    <col min="3589" max="3589" width="9.33203125" style="27" customWidth="1"/>
    <col min="3590" max="3590" width="17" style="27" customWidth="1"/>
    <col min="3591" max="3591" width="47" style="27" customWidth="1"/>
    <col min="3592" max="3592" width="14.5" style="27" customWidth="1"/>
    <col min="3593" max="3593" width="9.33203125" style="27"/>
    <col min="3594" max="3594" width="74.6640625" style="27" customWidth="1"/>
    <col min="3595" max="3841" width="9.33203125" style="27"/>
    <col min="3842" max="3842" width="13.5" style="27" customWidth="1"/>
    <col min="3843" max="3843" width="72.1640625" style="27" customWidth="1"/>
    <col min="3844" max="3844" width="12.33203125" style="27" customWidth="1"/>
    <col min="3845" max="3845" width="9.33203125" style="27" customWidth="1"/>
    <col min="3846" max="3846" width="17" style="27" customWidth="1"/>
    <col min="3847" max="3847" width="47" style="27" customWidth="1"/>
    <col min="3848" max="3848" width="14.5" style="27" customWidth="1"/>
    <col min="3849" max="3849" width="9.33203125" style="27"/>
    <col min="3850" max="3850" width="74.6640625" style="27" customWidth="1"/>
    <col min="3851" max="4097" width="9.33203125" style="27"/>
    <col min="4098" max="4098" width="13.5" style="27" customWidth="1"/>
    <col min="4099" max="4099" width="72.1640625" style="27" customWidth="1"/>
    <col min="4100" max="4100" width="12.33203125" style="27" customWidth="1"/>
    <col min="4101" max="4101" width="9.33203125" style="27" customWidth="1"/>
    <col min="4102" max="4102" width="17" style="27" customWidth="1"/>
    <col min="4103" max="4103" width="47" style="27" customWidth="1"/>
    <col min="4104" max="4104" width="14.5" style="27" customWidth="1"/>
    <col min="4105" max="4105" width="9.33203125" style="27"/>
    <col min="4106" max="4106" width="74.6640625" style="27" customWidth="1"/>
    <col min="4107" max="4353" width="9.33203125" style="27"/>
    <col min="4354" max="4354" width="13.5" style="27" customWidth="1"/>
    <col min="4355" max="4355" width="72.1640625" style="27" customWidth="1"/>
    <col min="4356" max="4356" width="12.33203125" style="27" customWidth="1"/>
    <col min="4357" max="4357" width="9.33203125" style="27" customWidth="1"/>
    <col min="4358" max="4358" width="17" style="27" customWidth="1"/>
    <col min="4359" max="4359" width="47" style="27" customWidth="1"/>
    <col min="4360" max="4360" width="14.5" style="27" customWidth="1"/>
    <col min="4361" max="4361" width="9.33203125" style="27"/>
    <col min="4362" max="4362" width="74.6640625" style="27" customWidth="1"/>
    <col min="4363" max="4609" width="9.33203125" style="27"/>
    <col min="4610" max="4610" width="13.5" style="27" customWidth="1"/>
    <col min="4611" max="4611" width="72.1640625" style="27" customWidth="1"/>
    <col min="4612" max="4612" width="12.33203125" style="27" customWidth="1"/>
    <col min="4613" max="4613" width="9.33203125" style="27" customWidth="1"/>
    <col min="4614" max="4614" width="17" style="27" customWidth="1"/>
    <col min="4615" max="4615" width="47" style="27" customWidth="1"/>
    <col min="4616" max="4616" width="14.5" style="27" customWidth="1"/>
    <col min="4617" max="4617" width="9.33203125" style="27"/>
    <col min="4618" max="4618" width="74.6640625" style="27" customWidth="1"/>
    <col min="4619" max="4865" width="9.33203125" style="27"/>
    <col min="4866" max="4866" width="13.5" style="27" customWidth="1"/>
    <col min="4867" max="4867" width="72.1640625" style="27" customWidth="1"/>
    <col min="4868" max="4868" width="12.33203125" style="27" customWidth="1"/>
    <col min="4869" max="4869" width="9.33203125" style="27" customWidth="1"/>
    <col min="4870" max="4870" width="17" style="27" customWidth="1"/>
    <col min="4871" max="4871" width="47" style="27" customWidth="1"/>
    <col min="4872" max="4872" width="14.5" style="27" customWidth="1"/>
    <col min="4873" max="4873" width="9.33203125" style="27"/>
    <col min="4874" max="4874" width="74.6640625" style="27" customWidth="1"/>
    <col min="4875" max="5121" width="9.33203125" style="27"/>
    <col min="5122" max="5122" width="13.5" style="27" customWidth="1"/>
    <col min="5123" max="5123" width="72.1640625" style="27" customWidth="1"/>
    <col min="5124" max="5124" width="12.33203125" style="27" customWidth="1"/>
    <col min="5125" max="5125" width="9.33203125" style="27" customWidth="1"/>
    <col min="5126" max="5126" width="17" style="27" customWidth="1"/>
    <col min="5127" max="5127" width="47" style="27" customWidth="1"/>
    <col min="5128" max="5128" width="14.5" style="27" customWidth="1"/>
    <col min="5129" max="5129" width="9.33203125" style="27"/>
    <col min="5130" max="5130" width="74.6640625" style="27" customWidth="1"/>
    <col min="5131" max="5377" width="9.33203125" style="27"/>
    <col min="5378" max="5378" width="13.5" style="27" customWidth="1"/>
    <col min="5379" max="5379" width="72.1640625" style="27" customWidth="1"/>
    <col min="5380" max="5380" width="12.33203125" style="27" customWidth="1"/>
    <col min="5381" max="5381" width="9.33203125" style="27" customWidth="1"/>
    <col min="5382" max="5382" width="17" style="27" customWidth="1"/>
    <col min="5383" max="5383" width="47" style="27" customWidth="1"/>
    <col min="5384" max="5384" width="14.5" style="27" customWidth="1"/>
    <col min="5385" max="5385" width="9.33203125" style="27"/>
    <col min="5386" max="5386" width="74.6640625" style="27" customWidth="1"/>
    <col min="5387" max="5633" width="9.33203125" style="27"/>
    <col min="5634" max="5634" width="13.5" style="27" customWidth="1"/>
    <col min="5635" max="5635" width="72.1640625" style="27" customWidth="1"/>
    <col min="5636" max="5636" width="12.33203125" style="27" customWidth="1"/>
    <col min="5637" max="5637" width="9.33203125" style="27" customWidth="1"/>
    <col min="5638" max="5638" width="17" style="27" customWidth="1"/>
    <col min="5639" max="5639" width="47" style="27" customWidth="1"/>
    <col min="5640" max="5640" width="14.5" style="27" customWidth="1"/>
    <col min="5641" max="5641" width="9.33203125" style="27"/>
    <col min="5642" max="5642" width="74.6640625" style="27" customWidth="1"/>
    <col min="5643" max="5889" width="9.33203125" style="27"/>
    <col min="5890" max="5890" width="13.5" style="27" customWidth="1"/>
    <col min="5891" max="5891" width="72.1640625" style="27" customWidth="1"/>
    <col min="5892" max="5892" width="12.33203125" style="27" customWidth="1"/>
    <col min="5893" max="5893" width="9.33203125" style="27" customWidth="1"/>
    <col min="5894" max="5894" width="17" style="27" customWidth="1"/>
    <col min="5895" max="5895" width="47" style="27" customWidth="1"/>
    <col min="5896" max="5896" width="14.5" style="27" customWidth="1"/>
    <col min="5897" max="5897" width="9.33203125" style="27"/>
    <col min="5898" max="5898" width="74.6640625" style="27" customWidth="1"/>
    <col min="5899" max="6145" width="9.33203125" style="27"/>
    <col min="6146" max="6146" width="13.5" style="27" customWidth="1"/>
    <col min="6147" max="6147" width="72.1640625" style="27" customWidth="1"/>
    <col min="6148" max="6148" width="12.33203125" style="27" customWidth="1"/>
    <col min="6149" max="6149" width="9.33203125" style="27" customWidth="1"/>
    <col min="6150" max="6150" width="17" style="27" customWidth="1"/>
    <col min="6151" max="6151" width="47" style="27" customWidth="1"/>
    <col min="6152" max="6152" width="14.5" style="27" customWidth="1"/>
    <col min="6153" max="6153" width="9.33203125" style="27"/>
    <col min="6154" max="6154" width="74.6640625" style="27" customWidth="1"/>
    <col min="6155" max="6401" width="9.33203125" style="27"/>
    <col min="6402" max="6402" width="13.5" style="27" customWidth="1"/>
    <col min="6403" max="6403" width="72.1640625" style="27" customWidth="1"/>
    <col min="6404" max="6404" width="12.33203125" style="27" customWidth="1"/>
    <col min="6405" max="6405" width="9.33203125" style="27" customWidth="1"/>
    <col min="6406" max="6406" width="17" style="27" customWidth="1"/>
    <col min="6407" max="6407" width="47" style="27" customWidth="1"/>
    <col min="6408" max="6408" width="14.5" style="27" customWidth="1"/>
    <col min="6409" max="6409" width="9.33203125" style="27"/>
    <col min="6410" max="6410" width="74.6640625" style="27" customWidth="1"/>
    <col min="6411" max="6657" width="9.33203125" style="27"/>
    <col min="6658" max="6658" width="13.5" style="27" customWidth="1"/>
    <col min="6659" max="6659" width="72.1640625" style="27" customWidth="1"/>
    <col min="6660" max="6660" width="12.33203125" style="27" customWidth="1"/>
    <col min="6661" max="6661" width="9.33203125" style="27" customWidth="1"/>
    <col min="6662" max="6662" width="17" style="27" customWidth="1"/>
    <col min="6663" max="6663" width="47" style="27" customWidth="1"/>
    <col min="6664" max="6664" width="14.5" style="27" customWidth="1"/>
    <col min="6665" max="6665" width="9.33203125" style="27"/>
    <col min="6666" max="6666" width="74.6640625" style="27" customWidth="1"/>
    <col min="6667" max="6913" width="9.33203125" style="27"/>
    <col min="6914" max="6914" width="13.5" style="27" customWidth="1"/>
    <col min="6915" max="6915" width="72.1640625" style="27" customWidth="1"/>
    <col min="6916" max="6916" width="12.33203125" style="27" customWidth="1"/>
    <col min="6917" max="6917" width="9.33203125" style="27" customWidth="1"/>
    <col min="6918" max="6918" width="17" style="27" customWidth="1"/>
    <col min="6919" max="6919" width="47" style="27" customWidth="1"/>
    <col min="6920" max="6920" width="14.5" style="27" customWidth="1"/>
    <col min="6921" max="6921" width="9.33203125" style="27"/>
    <col min="6922" max="6922" width="74.6640625" style="27" customWidth="1"/>
    <col min="6923" max="7169" width="9.33203125" style="27"/>
    <col min="7170" max="7170" width="13.5" style="27" customWidth="1"/>
    <col min="7171" max="7171" width="72.1640625" style="27" customWidth="1"/>
    <col min="7172" max="7172" width="12.33203125" style="27" customWidth="1"/>
    <col min="7173" max="7173" width="9.33203125" style="27" customWidth="1"/>
    <col min="7174" max="7174" width="17" style="27" customWidth="1"/>
    <col min="7175" max="7175" width="47" style="27" customWidth="1"/>
    <col min="7176" max="7176" width="14.5" style="27" customWidth="1"/>
    <col min="7177" max="7177" width="9.33203125" style="27"/>
    <col min="7178" max="7178" width="74.6640625" style="27" customWidth="1"/>
    <col min="7179" max="7425" width="9.33203125" style="27"/>
    <col min="7426" max="7426" width="13.5" style="27" customWidth="1"/>
    <col min="7427" max="7427" width="72.1640625" style="27" customWidth="1"/>
    <col min="7428" max="7428" width="12.33203125" style="27" customWidth="1"/>
    <col min="7429" max="7429" width="9.33203125" style="27" customWidth="1"/>
    <col min="7430" max="7430" width="17" style="27" customWidth="1"/>
    <col min="7431" max="7431" width="47" style="27" customWidth="1"/>
    <col min="7432" max="7432" width="14.5" style="27" customWidth="1"/>
    <col min="7433" max="7433" width="9.33203125" style="27"/>
    <col min="7434" max="7434" width="74.6640625" style="27" customWidth="1"/>
    <col min="7435" max="7681" width="9.33203125" style="27"/>
    <col min="7682" max="7682" width="13.5" style="27" customWidth="1"/>
    <col min="7683" max="7683" width="72.1640625" style="27" customWidth="1"/>
    <col min="7684" max="7684" width="12.33203125" style="27" customWidth="1"/>
    <col min="7685" max="7685" width="9.33203125" style="27" customWidth="1"/>
    <col min="7686" max="7686" width="17" style="27" customWidth="1"/>
    <col min="7687" max="7687" width="47" style="27" customWidth="1"/>
    <col min="7688" max="7688" width="14.5" style="27" customWidth="1"/>
    <col min="7689" max="7689" width="9.33203125" style="27"/>
    <col min="7690" max="7690" width="74.6640625" style="27" customWidth="1"/>
    <col min="7691" max="7937" width="9.33203125" style="27"/>
    <col min="7938" max="7938" width="13.5" style="27" customWidth="1"/>
    <col min="7939" max="7939" width="72.1640625" style="27" customWidth="1"/>
    <col min="7940" max="7940" width="12.33203125" style="27" customWidth="1"/>
    <col min="7941" max="7941" width="9.33203125" style="27" customWidth="1"/>
    <col min="7942" max="7942" width="17" style="27" customWidth="1"/>
    <col min="7943" max="7943" width="47" style="27" customWidth="1"/>
    <col min="7944" max="7944" width="14.5" style="27" customWidth="1"/>
    <col min="7945" max="7945" width="9.33203125" style="27"/>
    <col min="7946" max="7946" width="74.6640625" style="27" customWidth="1"/>
    <col min="7947" max="8193" width="9.33203125" style="27"/>
    <col min="8194" max="8194" width="13.5" style="27" customWidth="1"/>
    <col min="8195" max="8195" width="72.1640625" style="27" customWidth="1"/>
    <col min="8196" max="8196" width="12.33203125" style="27" customWidth="1"/>
    <col min="8197" max="8197" width="9.33203125" style="27" customWidth="1"/>
    <col min="8198" max="8198" width="17" style="27" customWidth="1"/>
    <col min="8199" max="8199" width="47" style="27" customWidth="1"/>
    <col min="8200" max="8200" width="14.5" style="27" customWidth="1"/>
    <col min="8201" max="8201" width="9.33203125" style="27"/>
    <col min="8202" max="8202" width="74.6640625" style="27" customWidth="1"/>
    <col min="8203" max="8449" width="9.33203125" style="27"/>
    <col min="8450" max="8450" width="13.5" style="27" customWidth="1"/>
    <col min="8451" max="8451" width="72.1640625" style="27" customWidth="1"/>
    <col min="8452" max="8452" width="12.33203125" style="27" customWidth="1"/>
    <col min="8453" max="8453" width="9.33203125" style="27" customWidth="1"/>
    <col min="8454" max="8454" width="17" style="27" customWidth="1"/>
    <col min="8455" max="8455" width="47" style="27" customWidth="1"/>
    <col min="8456" max="8456" width="14.5" style="27" customWidth="1"/>
    <col min="8457" max="8457" width="9.33203125" style="27"/>
    <col min="8458" max="8458" width="74.6640625" style="27" customWidth="1"/>
    <col min="8459" max="8705" width="9.33203125" style="27"/>
    <col min="8706" max="8706" width="13.5" style="27" customWidth="1"/>
    <col min="8707" max="8707" width="72.1640625" style="27" customWidth="1"/>
    <col min="8708" max="8708" width="12.33203125" style="27" customWidth="1"/>
    <col min="8709" max="8709" width="9.33203125" style="27" customWidth="1"/>
    <col min="8710" max="8710" width="17" style="27" customWidth="1"/>
    <col min="8711" max="8711" width="47" style="27" customWidth="1"/>
    <col min="8712" max="8712" width="14.5" style="27" customWidth="1"/>
    <col min="8713" max="8713" width="9.33203125" style="27"/>
    <col min="8714" max="8714" width="74.6640625" style="27" customWidth="1"/>
    <col min="8715" max="8961" width="9.33203125" style="27"/>
    <col min="8962" max="8962" width="13.5" style="27" customWidth="1"/>
    <col min="8963" max="8963" width="72.1640625" style="27" customWidth="1"/>
    <col min="8964" max="8964" width="12.33203125" style="27" customWidth="1"/>
    <col min="8965" max="8965" width="9.33203125" style="27" customWidth="1"/>
    <col min="8966" max="8966" width="17" style="27" customWidth="1"/>
    <col min="8967" max="8967" width="47" style="27" customWidth="1"/>
    <col min="8968" max="8968" width="14.5" style="27" customWidth="1"/>
    <col min="8969" max="8969" width="9.33203125" style="27"/>
    <col min="8970" max="8970" width="74.6640625" style="27" customWidth="1"/>
    <col min="8971" max="9217" width="9.33203125" style="27"/>
    <col min="9218" max="9218" width="13.5" style="27" customWidth="1"/>
    <col min="9219" max="9219" width="72.1640625" style="27" customWidth="1"/>
    <col min="9220" max="9220" width="12.33203125" style="27" customWidth="1"/>
    <col min="9221" max="9221" width="9.33203125" style="27" customWidth="1"/>
    <col min="9222" max="9222" width="17" style="27" customWidth="1"/>
    <col min="9223" max="9223" width="47" style="27" customWidth="1"/>
    <col min="9224" max="9224" width="14.5" style="27" customWidth="1"/>
    <col min="9225" max="9225" width="9.33203125" style="27"/>
    <col min="9226" max="9226" width="74.6640625" style="27" customWidth="1"/>
    <col min="9227" max="9473" width="9.33203125" style="27"/>
    <col min="9474" max="9474" width="13.5" style="27" customWidth="1"/>
    <col min="9475" max="9475" width="72.1640625" style="27" customWidth="1"/>
    <col min="9476" max="9476" width="12.33203125" style="27" customWidth="1"/>
    <col min="9477" max="9477" width="9.33203125" style="27" customWidth="1"/>
    <col min="9478" max="9478" width="17" style="27" customWidth="1"/>
    <col min="9479" max="9479" width="47" style="27" customWidth="1"/>
    <col min="9480" max="9480" width="14.5" style="27" customWidth="1"/>
    <col min="9481" max="9481" width="9.33203125" style="27"/>
    <col min="9482" max="9482" width="74.6640625" style="27" customWidth="1"/>
    <col min="9483" max="9729" width="9.33203125" style="27"/>
    <col min="9730" max="9730" width="13.5" style="27" customWidth="1"/>
    <col min="9731" max="9731" width="72.1640625" style="27" customWidth="1"/>
    <col min="9732" max="9732" width="12.33203125" style="27" customWidth="1"/>
    <col min="9733" max="9733" width="9.33203125" style="27" customWidth="1"/>
    <col min="9734" max="9734" width="17" style="27" customWidth="1"/>
    <col min="9735" max="9735" width="47" style="27" customWidth="1"/>
    <col min="9736" max="9736" width="14.5" style="27" customWidth="1"/>
    <col min="9737" max="9737" width="9.33203125" style="27"/>
    <col min="9738" max="9738" width="74.6640625" style="27" customWidth="1"/>
    <col min="9739" max="9985" width="9.33203125" style="27"/>
    <col min="9986" max="9986" width="13.5" style="27" customWidth="1"/>
    <col min="9987" max="9987" width="72.1640625" style="27" customWidth="1"/>
    <col min="9988" max="9988" width="12.33203125" style="27" customWidth="1"/>
    <col min="9989" max="9989" width="9.33203125" style="27" customWidth="1"/>
    <col min="9990" max="9990" width="17" style="27" customWidth="1"/>
    <col min="9991" max="9991" width="47" style="27" customWidth="1"/>
    <col min="9992" max="9992" width="14.5" style="27" customWidth="1"/>
    <col min="9993" max="9993" width="9.33203125" style="27"/>
    <col min="9994" max="9994" width="74.6640625" style="27" customWidth="1"/>
    <col min="9995" max="10241" width="9.33203125" style="27"/>
    <col min="10242" max="10242" width="13.5" style="27" customWidth="1"/>
    <col min="10243" max="10243" width="72.1640625" style="27" customWidth="1"/>
    <col min="10244" max="10244" width="12.33203125" style="27" customWidth="1"/>
    <col min="10245" max="10245" width="9.33203125" style="27" customWidth="1"/>
    <col min="10246" max="10246" width="17" style="27" customWidth="1"/>
    <col min="10247" max="10247" width="47" style="27" customWidth="1"/>
    <col min="10248" max="10248" width="14.5" style="27" customWidth="1"/>
    <col min="10249" max="10249" width="9.33203125" style="27"/>
    <col min="10250" max="10250" width="74.6640625" style="27" customWidth="1"/>
    <col min="10251" max="10497" width="9.33203125" style="27"/>
    <col min="10498" max="10498" width="13.5" style="27" customWidth="1"/>
    <col min="10499" max="10499" width="72.1640625" style="27" customWidth="1"/>
    <col min="10500" max="10500" width="12.33203125" style="27" customWidth="1"/>
    <col min="10501" max="10501" width="9.33203125" style="27" customWidth="1"/>
    <col min="10502" max="10502" width="17" style="27" customWidth="1"/>
    <col min="10503" max="10503" width="47" style="27" customWidth="1"/>
    <col min="10504" max="10504" width="14.5" style="27" customWidth="1"/>
    <col min="10505" max="10505" width="9.33203125" style="27"/>
    <col min="10506" max="10506" width="74.6640625" style="27" customWidth="1"/>
    <col min="10507" max="10753" width="9.33203125" style="27"/>
    <col min="10754" max="10754" width="13.5" style="27" customWidth="1"/>
    <col min="10755" max="10755" width="72.1640625" style="27" customWidth="1"/>
    <col min="10756" max="10756" width="12.33203125" style="27" customWidth="1"/>
    <col min="10757" max="10757" width="9.33203125" style="27" customWidth="1"/>
    <col min="10758" max="10758" width="17" style="27" customWidth="1"/>
    <col min="10759" max="10759" width="47" style="27" customWidth="1"/>
    <col min="10760" max="10760" width="14.5" style="27" customWidth="1"/>
    <col min="10761" max="10761" width="9.33203125" style="27"/>
    <col min="10762" max="10762" width="74.6640625" style="27" customWidth="1"/>
    <col min="10763" max="11009" width="9.33203125" style="27"/>
    <col min="11010" max="11010" width="13.5" style="27" customWidth="1"/>
    <col min="11011" max="11011" width="72.1640625" style="27" customWidth="1"/>
    <col min="11012" max="11012" width="12.33203125" style="27" customWidth="1"/>
    <col min="11013" max="11013" width="9.33203125" style="27" customWidth="1"/>
    <col min="11014" max="11014" width="17" style="27" customWidth="1"/>
    <col min="11015" max="11015" width="47" style="27" customWidth="1"/>
    <col min="11016" max="11016" width="14.5" style="27" customWidth="1"/>
    <col min="11017" max="11017" width="9.33203125" style="27"/>
    <col min="11018" max="11018" width="74.6640625" style="27" customWidth="1"/>
    <col min="11019" max="11265" width="9.33203125" style="27"/>
    <col min="11266" max="11266" width="13.5" style="27" customWidth="1"/>
    <col min="11267" max="11267" width="72.1640625" style="27" customWidth="1"/>
    <col min="11268" max="11268" width="12.33203125" style="27" customWidth="1"/>
    <col min="11269" max="11269" width="9.33203125" style="27" customWidth="1"/>
    <col min="11270" max="11270" width="17" style="27" customWidth="1"/>
    <col min="11271" max="11271" width="47" style="27" customWidth="1"/>
    <col min="11272" max="11272" width="14.5" style="27" customWidth="1"/>
    <col min="11273" max="11273" width="9.33203125" style="27"/>
    <col min="11274" max="11274" width="74.6640625" style="27" customWidth="1"/>
    <col min="11275" max="11521" width="9.33203125" style="27"/>
    <col min="11522" max="11522" width="13.5" style="27" customWidth="1"/>
    <col min="11523" max="11523" width="72.1640625" style="27" customWidth="1"/>
    <col min="11524" max="11524" width="12.33203125" style="27" customWidth="1"/>
    <col min="11525" max="11525" width="9.33203125" style="27" customWidth="1"/>
    <col min="11526" max="11526" width="17" style="27" customWidth="1"/>
    <col min="11527" max="11527" width="47" style="27" customWidth="1"/>
    <col min="11528" max="11528" width="14.5" style="27" customWidth="1"/>
    <col min="11529" max="11529" width="9.33203125" style="27"/>
    <col min="11530" max="11530" width="74.6640625" style="27" customWidth="1"/>
    <col min="11531" max="11777" width="9.33203125" style="27"/>
    <col min="11778" max="11778" width="13.5" style="27" customWidth="1"/>
    <col min="11779" max="11779" width="72.1640625" style="27" customWidth="1"/>
    <col min="11780" max="11780" width="12.33203125" style="27" customWidth="1"/>
    <col min="11781" max="11781" width="9.33203125" style="27" customWidth="1"/>
    <col min="11782" max="11782" width="17" style="27" customWidth="1"/>
    <col min="11783" max="11783" width="47" style="27" customWidth="1"/>
    <col min="11784" max="11784" width="14.5" style="27" customWidth="1"/>
    <col min="11785" max="11785" width="9.33203125" style="27"/>
    <col min="11786" max="11786" width="74.6640625" style="27" customWidth="1"/>
    <col min="11787" max="12033" width="9.33203125" style="27"/>
    <col min="12034" max="12034" width="13.5" style="27" customWidth="1"/>
    <col min="12035" max="12035" width="72.1640625" style="27" customWidth="1"/>
    <col min="12036" max="12036" width="12.33203125" style="27" customWidth="1"/>
    <col min="12037" max="12037" width="9.33203125" style="27" customWidth="1"/>
    <col min="12038" max="12038" width="17" style="27" customWidth="1"/>
    <col min="12039" max="12039" width="47" style="27" customWidth="1"/>
    <col min="12040" max="12040" width="14.5" style="27" customWidth="1"/>
    <col min="12041" max="12041" width="9.33203125" style="27"/>
    <col min="12042" max="12042" width="74.6640625" style="27" customWidth="1"/>
    <col min="12043" max="12289" width="9.33203125" style="27"/>
    <col min="12290" max="12290" width="13.5" style="27" customWidth="1"/>
    <col min="12291" max="12291" width="72.1640625" style="27" customWidth="1"/>
    <col min="12292" max="12292" width="12.33203125" style="27" customWidth="1"/>
    <col min="12293" max="12293" width="9.33203125" style="27" customWidth="1"/>
    <col min="12294" max="12294" width="17" style="27" customWidth="1"/>
    <col min="12295" max="12295" width="47" style="27" customWidth="1"/>
    <col min="12296" max="12296" width="14.5" style="27" customWidth="1"/>
    <col min="12297" max="12297" width="9.33203125" style="27"/>
    <col min="12298" max="12298" width="74.6640625" style="27" customWidth="1"/>
    <col min="12299" max="12545" width="9.33203125" style="27"/>
    <col min="12546" max="12546" width="13.5" style="27" customWidth="1"/>
    <col min="12547" max="12547" width="72.1640625" style="27" customWidth="1"/>
    <col min="12548" max="12548" width="12.33203125" style="27" customWidth="1"/>
    <col min="12549" max="12549" width="9.33203125" style="27" customWidth="1"/>
    <col min="12550" max="12550" width="17" style="27" customWidth="1"/>
    <col min="12551" max="12551" width="47" style="27" customWidth="1"/>
    <col min="12552" max="12552" width="14.5" style="27" customWidth="1"/>
    <col min="12553" max="12553" width="9.33203125" style="27"/>
    <col min="12554" max="12554" width="74.6640625" style="27" customWidth="1"/>
    <col min="12555" max="12801" width="9.33203125" style="27"/>
    <col min="12802" max="12802" width="13.5" style="27" customWidth="1"/>
    <col min="12803" max="12803" width="72.1640625" style="27" customWidth="1"/>
    <col min="12804" max="12804" width="12.33203125" style="27" customWidth="1"/>
    <col min="12805" max="12805" width="9.33203125" style="27" customWidth="1"/>
    <col min="12806" max="12806" width="17" style="27" customWidth="1"/>
    <col min="12807" max="12807" width="47" style="27" customWidth="1"/>
    <col min="12808" max="12808" width="14.5" style="27" customWidth="1"/>
    <col min="12809" max="12809" width="9.33203125" style="27"/>
    <col min="12810" max="12810" width="74.6640625" style="27" customWidth="1"/>
    <col min="12811" max="13057" width="9.33203125" style="27"/>
    <col min="13058" max="13058" width="13.5" style="27" customWidth="1"/>
    <col min="13059" max="13059" width="72.1640625" style="27" customWidth="1"/>
    <col min="13060" max="13060" width="12.33203125" style="27" customWidth="1"/>
    <col min="13061" max="13061" width="9.33203125" style="27" customWidth="1"/>
    <col min="13062" max="13062" width="17" style="27" customWidth="1"/>
    <col min="13063" max="13063" width="47" style="27" customWidth="1"/>
    <col min="13064" max="13064" width="14.5" style="27" customWidth="1"/>
    <col min="13065" max="13065" width="9.33203125" style="27"/>
    <col min="13066" max="13066" width="74.6640625" style="27" customWidth="1"/>
    <col min="13067" max="13313" width="9.33203125" style="27"/>
    <col min="13314" max="13314" width="13.5" style="27" customWidth="1"/>
    <col min="13315" max="13315" width="72.1640625" style="27" customWidth="1"/>
    <col min="13316" max="13316" width="12.33203125" style="27" customWidth="1"/>
    <col min="13317" max="13317" width="9.33203125" style="27" customWidth="1"/>
    <col min="13318" max="13318" width="17" style="27" customWidth="1"/>
    <col min="13319" max="13319" width="47" style="27" customWidth="1"/>
    <col min="13320" max="13320" width="14.5" style="27" customWidth="1"/>
    <col min="13321" max="13321" width="9.33203125" style="27"/>
    <col min="13322" max="13322" width="74.6640625" style="27" customWidth="1"/>
    <col min="13323" max="13569" width="9.33203125" style="27"/>
    <col min="13570" max="13570" width="13.5" style="27" customWidth="1"/>
    <col min="13571" max="13571" width="72.1640625" style="27" customWidth="1"/>
    <col min="13572" max="13572" width="12.33203125" style="27" customWidth="1"/>
    <col min="13573" max="13573" width="9.33203125" style="27" customWidth="1"/>
    <col min="13574" max="13574" width="17" style="27" customWidth="1"/>
    <col min="13575" max="13575" width="47" style="27" customWidth="1"/>
    <col min="13576" max="13576" width="14.5" style="27" customWidth="1"/>
    <col min="13577" max="13577" width="9.33203125" style="27"/>
    <col min="13578" max="13578" width="74.6640625" style="27" customWidth="1"/>
    <col min="13579" max="13825" width="9.33203125" style="27"/>
    <col min="13826" max="13826" width="13.5" style="27" customWidth="1"/>
    <col min="13827" max="13827" width="72.1640625" style="27" customWidth="1"/>
    <col min="13828" max="13828" width="12.33203125" style="27" customWidth="1"/>
    <col min="13829" max="13829" width="9.33203125" style="27" customWidth="1"/>
    <col min="13830" max="13830" width="17" style="27" customWidth="1"/>
    <col min="13831" max="13831" width="47" style="27" customWidth="1"/>
    <col min="13832" max="13832" width="14.5" style="27" customWidth="1"/>
    <col min="13833" max="13833" width="9.33203125" style="27"/>
    <col min="13834" max="13834" width="74.6640625" style="27" customWidth="1"/>
    <col min="13835" max="14081" width="9.33203125" style="27"/>
    <col min="14082" max="14082" width="13.5" style="27" customWidth="1"/>
    <col min="14083" max="14083" width="72.1640625" style="27" customWidth="1"/>
    <col min="14084" max="14084" width="12.33203125" style="27" customWidth="1"/>
    <col min="14085" max="14085" width="9.33203125" style="27" customWidth="1"/>
    <col min="14086" max="14086" width="17" style="27" customWidth="1"/>
    <col min="14087" max="14087" width="47" style="27" customWidth="1"/>
    <col min="14088" max="14088" width="14.5" style="27" customWidth="1"/>
    <col min="14089" max="14089" width="9.33203125" style="27"/>
    <col min="14090" max="14090" width="74.6640625" style="27" customWidth="1"/>
    <col min="14091" max="14337" width="9.33203125" style="27"/>
    <col min="14338" max="14338" width="13.5" style="27" customWidth="1"/>
    <col min="14339" max="14339" width="72.1640625" style="27" customWidth="1"/>
    <col min="14340" max="14340" width="12.33203125" style="27" customWidth="1"/>
    <col min="14341" max="14341" width="9.33203125" style="27" customWidth="1"/>
    <col min="14342" max="14342" width="17" style="27" customWidth="1"/>
    <col min="14343" max="14343" width="47" style="27" customWidth="1"/>
    <col min="14344" max="14344" width="14.5" style="27" customWidth="1"/>
    <col min="14345" max="14345" width="9.33203125" style="27"/>
    <col min="14346" max="14346" width="74.6640625" style="27" customWidth="1"/>
    <col min="14347" max="14593" width="9.33203125" style="27"/>
    <col min="14594" max="14594" width="13.5" style="27" customWidth="1"/>
    <col min="14595" max="14595" width="72.1640625" style="27" customWidth="1"/>
    <col min="14596" max="14596" width="12.33203125" style="27" customWidth="1"/>
    <col min="14597" max="14597" width="9.33203125" style="27" customWidth="1"/>
    <col min="14598" max="14598" width="17" style="27" customWidth="1"/>
    <col min="14599" max="14599" width="47" style="27" customWidth="1"/>
    <col min="14600" max="14600" width="14.5" style="27" customWidth="1"/>
    <col min="14601" max="14601" width="9.33203125" style="27"/>
    <col min="14602" max="14602" width="74.6640625" style="27" customWidth="1"/>
    <col min="14603" max="14849" width="9.33203125" style="27"/>
    <col min="14850" max="14850" width="13.5" style="27" customWidth="1"/>
    <col min="14851" max="14851" width="72.1640625" style="27" customWidth="1"/>
    <col min="14852" max="14852" width="12.33203125" style="27" customWidth="1"/>
    <col min="14853" max="14853" width="9.33203125" style="27" customWidth="1"/>
    <col min="14854" max="14854" width="17" style="27" customWidth="1"/>
    <col min="14855" max="14855" width="47" style="27" customWidth="1"/>
    <col min="14856" max="14856" width="14.5" style="27" customWidth="1"/>
    <col min="14857" max="14857" width="9.33203125" style="27"/>
    <col min="14858" max="14858" width="74.6640625" style="27" customWidth="1"/>
    <col min="14859" max="15105" width="9.33203125" style="27"/>
    <col min="15106" max="15106" width="13.5" style="27" customWidth="1"/>
    <col min="15107" max="15107" width="72.1640625" style="27" customWidth="1"/>
    <col min="15108" max="15108" width="12.33203125" style="27" customWidth="1"/>
    <col min="15109" max="15109" width="9.33203125" style="27" customWidth="1"/>
    <col min="15110" max="15110" width="17" style="27" customWidth="1"/>
    <col min="15111" max="15111" width="47" style="27" customWidth="1"/>
    <col min="15112" max="15112" width="14.5" style="27" customWidth="1"/>
    <col min="15113" max="15113" width="9.33203125" style="27"/>
    <col min="15114" max="15114" width="74.6640625" style="27" customWidth="1"/>
    <col min="15115" max="15361" width="9.33203125" style="27"/>
    <col min="15362" max="15362" width="13.5" style="27" customWidth="1"/>
    <col min="15363" max="15363" width="72.1640625" style="27" customWidth="1"/>
    <col min="15364" max="15364" width="12.33203125" style="27" customWidth="1"/>
    <col min="15365" max="15365" width="9.33203125" style="27" customWidth="1"/>
    <col min="15366" max="15366" width="17" style="27" customWidth="1"/>
    <col min="15367" max="15367" width="47" style="27" customWidth="1"/>
    <col min="15368" max="15368" width="14.5" style="27" customWidth="1"/>
    <col min="15369" max="15369" width="9.33203125" style="27"/>
    <col min="15370" max="15370" width="74.6640625" style="27" customWidth="1"/>
    <col min="15371" max="15617" width="9.33203125" style="27"/>
    <col min="15618" max="15618" width="13.5" style="27" customWidth="1"/>
    <col min="15619" max="15619" width="72.1640625" style="27" customWidth="1"/>
    <col min="15620" max="15620" width="12.33203125" style="27" customWidth="1"/>
    <col min="15621" max="15621" width="9.33203125" style="27" customWidth="1"/>
    <col min="15622" max="15622" width="17" style="27" customWidth="1"/>
    <col min="15623" max="15623" width="47" style="27" customWidth="1"/>
    <col min="15624" max="15624" width="14.5" style="27" customWidth="1"/>
    <col min="15625" max="15625" width="9.33203125" style="27"/>
    <col min="15626" max="15626" width="74.6640625" style="27" customWidth="1"/>
    <col min="15627" max="15873" width="9.33203125" style="27"/>
    <col min="15874" max="15874" width="13.5" style="27" customWidth="1"/>
    <col min="15875" max="15875" width="72.1640625" style="27" customWidth="1"/>
    <col min="15876" max="15876" width="12.33203125" style="27" customWidth="1"/>
    <col min="15877" max="15877" width="9.33203125" style="27" customWidth="1"/>
    <col min="15878" max="15878" width="17" style="27" customWidth="1"/>
    <col min="15879" max="15879" width="47" style="27" customWidth="1"/>
    <col min="15880" max="15880" width="14.5" style="27" customWidth="1"/>
    <col min="15881" max="15881" width="9.33203125" style="27"/>
    <col min="15882" max="15882" width="74.6640625" style="27" customWidth="1"/>
    <col min="15883" max="16129" width="9.33203125" style="27"/>
    <col min="16130" max="16130" width="13.5" style="27" customWidth="1"/>
    <col min="16131" max="16131" width="72.1640625" style="27" customWidth="1"/>
    <col min="16132" max="16132" width="12.33203125" style="27" customWidth="1"/>
    <col min="16133" max="16133" width="9.33203125" style="27" customWidth="1"/>
    <col min="16134" max="16134" width="17" style="27" customWidth="1"/>
    <col min="16135" max="16135" width="47" style="27" customWidth="1"/>
    <col min="16136" max="16136" width="14.5" style="27" customWidth="1"/>
    <col min="16137" max="16137" width="9.33203125" style="27"/>
    <col min="16138" max="16138" width="74.6640625" style="27" customWidth="1"/>
    <col min="16139" max="16384" width="9.33203125" style="27"/>
  </cols>
  <sheetData>
    <row r="1" spans="2:10" ht="16.5" thickBot="1" x14ac:dyDescent="0.25"/>
    <row r="2" spans="2:10" ht="47.25" x14ac:dyDescent="0.2">
      <c r="B2" s="61" t="s">
        <v>347</v>
      </c>
      <c r="C2" s="60" t="s">
        <v>346</v>
      </c>
      <c r="E2" s="59" t="s">
        <v>345</v>
      </c>
      <c r="F2" s="58" t="s">
        <v>344</v>
      </c>
      <c r="G2" s="57" t="s">
        <v>343</v>
      </c>
      <c r="I2" s="56" t="s">
        <v>296</v>
      </c>
      <c r="J2" s="55" t="s">
        <v>342</v>
      </c>
    </row>
    <row r="3" spans="2:10" x14ac:dyDescent="0.2">
      <c r="B3" s="31"/>
      <c r="C3" s="30"/>
      <c r="E3" s="44"/>
      <c r="F3" s="43"/>
      <c r="G3" s="42"/>
      <c r="I3" s="52"/>
      <c r="J3" s="51"/>
    </row>
    <row r="4" spans="2:10" x14ac:dyDescent="0.2">
      <c r="B4" s="31">
        <v>1</v>
      </c>
      <c r="C4" s="30" t="s">
        <v>341</v>
      </c>
      <c r="E4" s="44">
        <v>1</v>
      </c>
      <c r="F4" s="43" t="s">
        <v>340</v>
      </c>
      <c r="G4" s="42" t="s">
        <v>339</v>
      </c>
      <c r="I4" s="52">
        <v>1</v>
      </c>
      <c r="J4" s="54" t="s">
        <v>338</v>
      </c>
    </row>
    <row r="5" spans="2:10" x14ac:dyDescent="0.2">
      <c r="B5" s="31">
        <v>2</v>
      </c>
      <c r="C5" s="30" t="s">
        <v>337</v>
      </c>
      <c r="E5" s="44">
        <v>2</v>
      </c>
      <c r="F5" s="43" t="s">
        <v>336</v>
      </c>
      <c r="G5" s="42" t="s">
        <v>335</v>
      </c>
      <c r="I5" s="52">
        <v>2</v>
      </c>
      <c r="J5" s="54" t="s">
        <v>334</v>
      </c>
    </row>
    <row r="6" spans="2:10" ht="31.5" x14ac:dyDescent="0.2">
      <c r="B6" s="31">
        <v>3</v>
      </c>
      <c r="C6" s="30" t="s">
        <v>333</v>
      </c>
      <c r="E6" s="44">
        <v>3</v>
      </c>
      <c r="F6" s="43" t="s">
        <v>332</v>
      </c>
      <c r="G6" s="42" t="s">
        <v>331</v>
      </c>
      <c r="I6" s="52">
        <v>3</v>
      </c>
      <c r="J6" s="54" t="s">
        <v>330</v>
      </c>
    </row>
    <row r="7" spans="2:10" x14ac:dyDescent="0.2">
      <c r="B7" s="31">
        <v>4</v>
      </c>
      <c r="C7" s="30" t="s">
        <v>329</v>
      </c>
      <c r="E7" s="44">
        <v>4</v>
      </c>
      <c r="F7" s="43" t="s">
        <v>328</v>
      </c>
      <c r="G7" s="42" t="s">
        <v>327</v>
      </c>
      <c r="I7" s="52">
        <v>4</v>
      </c>
      <c r="J7" s="54" t="s">
        <v>326</v>
      </c>
    </row>
    <row r="8" spans="2:10" x14ac:dyDescent="0.2">
      <c r="B8" s="31">
        <v>5</v>
      </c>
      <c r="C8" s="30" t="s">
        <v>325</v>
      </c>
      <c r="E8" s="44">
        <v>5</v>
      </c>
      <c r="F8" s="43" t="s">
        <v>324</v>
      </c>
      <c r="G8" s="42" t="s">
        <v>323</v>
      </c>
      <c r="I8" s="52">
        <v>5</v>
      </c>
      <c r="J8" s="54" t="s">
        <v>322</v>
      </c>
    </row>
    <row r="9" spans="2:10" x14ac:dyDescent="0.2">
      <c r="B9" s="31">
        <v>6</v>
      </c>
      <c r="C9" s="30" t="s">
        <v>321</v>
      </c>
      <c r="E9" s="44">
        <v>6</v>
      </c>
      <c r="F9" s="43" t="s">
        <v>320</v>
      </c>
      <c r="G9" s="42" t="s">
        <v>319</v>
      </c>
      <c r="I9" s="52">
        <v>6</v>
      </c>
      <c r="J9" s="51" t="s">
        <v>318</v>
      </c>
    </row>
    <row r="10" spans="2:10" x14ac:dyDescent="0.2">
      <c r="B10" s="31">
        <v>7</v>
      </c>
      <c r="C10" s="30" t="s">
        <v>317</v>
      </c>
      <c r="E10" s="44">
        <v>7</v>
      </c>
      <c r="F10" s="43" t="s">
        <v>316</v>
      </c>
      <c r="G10" s="42" t="s">
        <v>315</v>
      </c>
      <c r="I10" s="52"/>
      <c r="J10" s="53"/>
    </row>
    <row r="11" spans="2:10" x14ac:dyDescent="0.2">
      <c r="B11" s="31">
        <v>8</v>
      </c>
      <c r="C11" s="30" t="s">
        <v>314</v>
      </c>
      <c r="E11" s="44">
        <v>8</v>
      </c>
      <c r="F11" s="43" t="s">
        <v>313</v>
      </c>
      <c r="G11" s="42" t="s">
        <v>312</v>
      </c>
      <c r="I11" s="52"/>
      <c r="J11" s="51"/>
    </row>
    <row r="12" spans="2:10" x14ac:dyDescent="0.2">
      <c r="B12" s="31">
        <v>9</v>
      </c>
      <c r="C12" s="30" t="s">
        <v>311</v>
      </c>
      <c r="E12" s="44">
        <v>9</v>
      </c>
      <c r="F12" s="43" t="s">
        <v>310</v>
      </c>
      <c r="G12" s="42" t="s">
        <v>309</v>
      </c>
      <c r="I12" s="52"/>
      <c r="J12" s="51"/>
    </row>
    <row r="13" spans="2:10" ht="16.5" thickBot="1" x14ac:dyDescent="0.25">
      <c r="B13" s="31">
        <v>10</v>
      </c>
      <c r="C13" s="30" t="s">
        <v>308</v>
      </c>
      <c r="E13" s="44">
        <v>10</v>
      </c>
      <c r="F13" s="43" t="s">
        <v>307</v>
      </c>
      <c r="G13" s="42" t="s">
        <v>306</v>
      </c>
      <c r="I13" s="50"/>
      <c r="J13" s="49"/>
    </row>
    <row r="14" spans="2:10" x14ac:dyDescent="0.2">
      <c r="B14" s="31">
        <v>11</v>
      </c>
      <c r="C14" s="30" t="s">
        <v>305</v>
      </c>
      <c r="E14" s="44">
        <v>11</v>
      </c>
      <c r="F14" s="43" t="s">
        <v>304</v>
      </c>
      <c r="G14" s="42" t="s">
        <v>303</v>
      </c>
    </row>
    <row r="15" spans="2:10" ht="16.5" thickBot="1" x14ac:dyDescent="0.25">
      <c r="B15" s="31">
        <v>12</v>
      </c>
      <c r="C15" s="30" t="s">
        <v>302</v>
      </c>
      <c r="E15" s="44">
        <v>12</v>
      </c>
      <c r="F15" s="43" t="s">
        <v>301</v>
      </c>
      <c r="G15" s="42" t="s">
        <v>300</v>
      </c>
    </row>
    <row r="16" spans="2:10" x14ac:dyDescent="0.2">
      <c r="B16" s="31">
        <v>13</v>
      </c>
      <c r="C16" s="30" t="s">
        <v>299</v>
      </c>
      <c r="E16" s="44">
        <v>13</v>
      </c>
      <c r="F16" s="43" t="s">
        <v>298</v>
      </c>
      <c r="G16" s="42" t="s">
        <v>297</v>
      </c>
      <c r="I16" s="48" t="s">
        <v>296</v>
      </c>
      <c r="J16" s="47" t="s">
        <v>295</v>
      </c>
    </row>
    <row r="17" spans="2:10" x14ac:dyDescent="0.2">
      <c r="B17" s="31">
        <v>14</v>
      </c>
      <c r="C17" s="30" t="s">
        <v>294</v>
      </c>
      <c r="E17" s="44">
        <v>14</v>
      </c>
      <c r="F17" s="43" t="s">
        <v>293</v>
      </c>
      <c r="G17" s="42" t="s">
        <v>292</v>
      </c>
      <c r="I17" s="37"/>
      <c r="J17" s="36"/>
    </row>
    <row r="18" spans="2:10" x14ac:dyDescent="0.2">
      <c r="B18" s="31">
        <v>15</v>
      </c>
      <c r="C18" s="30" t="s">
        <v>291</v>
      </c>
      <c r="E18" s="44">
        <v>15</v>
      </c>
      <c r="F18" s="43" t="s">
        <v>290</v>
      </c>
      <c r="G18" s="42" t="s">
        <v>289</v>
      </c>
      <c r="I18" s="37">
        <v>1</v>
      </c>
      <c r="J18" s="46" t="s">
        <v>288</v>
      </c>
    </row>
    <row r="19" spans="2:10" ht="47.25" x14ac:dyDescent="0.2">
      <c r="B19" s="31">
        <v>16</v>
      </c>
      <c r="C19" s="30" t="s">
        <v>287</v>
      </c>
      <c r="E19" s="44">
        <v>16</v>
      </c>
      <c r="F19" s="43" t="s">
        <v>286</v>
      </c>
      <c r="G19" s="42" t="s">
        <v>285</v>
      </c>
      <c r="I19" s="37">
        <v>2</v>
      </c>
      <c r="J19" s="45" t="s">
        <v>284</v>
      </c>
    </row>
    <row r="20" spans="2:10" x14ac:dyDescent="0.2">
      <c r="B20" s="31">
        <v>17</v>
      </c>
      <c r="C20" s="30" t="s">
        <v>283</v>
      </c>
      <c r="E20" s="44">
        <v>17</v>
      </c>
      <c r="F20" s="43" t="s">
        <v>282</v>
      </c>
      <c r="G20" s="42" t="s">
        <v>281</v>
      </c>
      <c r="I20" s="37">
        <v>3</v>
      </c>
      <c r="J20" s="38" t="s">
        <v>280</v>
      </c>
    </row>
    <row r="21" spans="2:10" ht="31.5" x14ac:dyDescent="0.2">
      <c r="B21" s="31">
        <v>18</v>
      </c>
      <c r="C21" s="30" t="s">
        <v>279</v>
      </c>
      <c r="E21" s="44">
        <v>18</v>
      </c>
      <c r="F21" s="43" t="s">
        <v>278</v>
      </c>
      <c r="G21" s="42" t="s">
        <v>277</v>
      </c>
      <c r="I21" s="37">
        <v>4</v>
      </c>
      <c r="J21" s="38" t="s">
        <v>276</v>
      </c>
    </row>
    <row r="22" spans="2:10" x14ac:dyDescent="0.2">
      <c r="B22" s="31">
        <v>19</v>
      </c>
      <c r="C22" s="30" t="s">
        <v>275</v>
      </c>
      <c r="E22" s="44">
        <v>19</v>
      </c>
      <c r="F22" s="43" t="s">
        <v>274</v>
      </c>
      <c r="G22" s="42" t="s">
        <v>273</v>
      </c>
      <c r="I22" s="37">
        <v>5</v>
      </c>
      <c r="J22" s="38" t="s">
        <v>272</v>
      </c>
    </row>
    <row r="23" spans="2:10" x14ac:dyDescent="0.2">
      <c r="B23" s="31">
        <v>20</v>
      </c>
      <c r="C23" s="30" t="s">
        <v>271</v>
      </c>
      <c r="E23" s="44">
        <v>20</v>
      </c>
      <c r="F23" s="43" t="s">
        <v>270</v>
      </c>
      <c r="G23" s="42" t="s">
        <v>269</v>
      </c>
      <c r="I23" s="37">
        <v>6</v>
      </c>
      <c r="J23" s="38" t="s">
        <v>268</v>
      </c>
    </row>
    <row r="24" spans="2:10" x14ac:dyDescent="0.2">
      <c r="B24" s="31">
        <v>21</v>
      </c>
      <c r="C24" s="30" t="s">
        <v>267</v>
      </c>
      <c r="E24" s="44">
        <v>21</v>
      </c>
      <c r="F24" s="43" t="s">
        <v>266</v>
      </c>
      <c r="G24" s="42" t="s">
        <v>265</v>
      </c>
      <c r="I24" s="37">
        <v>7</v>
      </c>
      <c r="J24" s="38" t="s">
        <v>264</v>
      </c>
    </row>
    <row r="25" spans="2:10" ht="16.5" thickBot="1" x14ac:dyDescent="0.25">
      <c r="B25" s="31">
        <v>22</v>
      </c>
      <c r="C25" s="30" t="s">
        <v>263</v>
      </c>
      <c r="E25" s="41">
        <v>22</v>
      </c>
      <c r="F25" s="40" t="s">
        <v>262</v>
      </c>
      <c r="G25" s="39" t="s">
        <v>261</v>
      </c>
      <c r="I25" s="37">
        <v>8</v>
      </c>
      <c r="J25" s="38" t="s">
        <v>260</v>
      </c>
    </row>
    <row r="26" spans="2:10" x14ac:dyDescent="0.2">
      <c r="B26" s="31">
        <v>23</v>
      </c>
      <c r="C26" s="30" t="s">
        <v>259</v>
      </c>
      <c r="I26" s="37">
        <v>9</v>
      </c>
      <c r="J26" s="38" t="s">
        <v>258</v>
      </c>
    </row>
    <row r="27" spans="2:10" x14ac:dyDescent="0.2">
      <c r="B27" s="31">
        <v>24</v>
      </c>
      <c r="C27" s="30" t="s">
        <v>257</v>
      </c>
      <c r="I27" s="37"/>
      <c r="J27" s="36"/>
    </row>
    <row r="28" spans="2:10" x14ac:dyDescent="0.2">
      <c r="B28" s="31">
        <v>25</v>
      </c>
      <c r="C28" s="30" t="s">
        <v>256</v>
      </c>
      <c r="I28" s="37"/>
      <c r="J28" s="36"/>
    </row>
    <row r="29" spans="2:10" ht="16.5" thickBot="1" x14ac:dyDescent="0.25">
      <c r="B29" s="31">
        <v>26</v>
      </c>
      <c r="C29" s="30" t="s">
        <v>255</v>
      </c>
      <c r="I29" s="35"/>
      <c r="J29" s="34"/>
    </row>
    <row r="30" spans="2:10" x14ac:dyDescent="0.2">
      <c r="B30" s="31">
        <v>27</v>
      </c>
      <c r="C30" s="30" t="s">
        <v>254</v>
      </c>
    </row>
    <row r="31" spans="2:10" ht="31.5" x14ac:dyDescent="0.2">
      <c r="B31" s="31">
        <v>28</v>
      </c>
      <c r="C31" s="30" t="s">
        <v>253</v>
      </c>
      <c r="I31" s="32"/>
      <c r="J31" s="33"/>
    </row>
    <row r="32" spans="2:10" x14ac:dyDescent="0.2">
      <c r="B32" s="31">
        <v>29</v>
      </c>
      <c r="C32" s="30" t="s">
        <v>252</v>
      </c>
      <c r="I32" s="32"/>
      <c r="J32" s="33"/>
    </row>
    <row r="33" spans="2:10" x14ac:dyDescent="0.2">
      <c r="B33" s="31">
        <v>30</v>
      </c>
      <c r="C33" s="30" t="s">
        <v>251</v>
      </c>
      <c r="I33" s="32"/>
      <c r="J33" s="33"/>
    </row>
    <row r="34" spans="2:10" x14ac:dyDescent="0.2">
      <c r="B34" s="31">
        <v>31</v>
      </c>
      <c r="C34" s="30" t="s">
        <v>250</v>
      </c>
      <c r="I34" s="32"/>
      <c r="J34" s="33"/>
    </row>
    <row r="35" spans="2:10" x14ac:dyDescent="0.2">
      <c r="B35" s="31">
        <v>32</v>
      </c>
      <c r="C35" s="30" t="s">
        <v>249</v>
      </c>
      <c r="I35" s="32"/>
      <c r="J35" s="32"/>
    </row>
    <row r="36" spans="2:10" x14ac:dyDescent="0.2">
      <c r="B36" s="31">
        <v>33</v>
      </c>
      <c r="C36" s="30" t="s">
        <v>248</v>
      </c>
    </row>
    <row r="37" spans="2:10" x14ac:dyDescent="0.2">
      <c r="B37" s="31">
        <v>34</v>
      </c>
      <c r="C37" s="30" t="s">
        <v>247</v>
      </c>
    </row>
    <row r="38" spans="2:10" ht="32.25" thickBot="1" x14ac:dyDescent="0.25">
      <c r="B38" s="29">
        <v>35</v>
      </c>
      <c r="C38" s="28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2.1.8 2024</vt:lpstr>
      <vt:lpstr>Лист1</vt:lpstr>
      <vt:lpstr>Справка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Александрова</dc:creator>
  <cp:lastModifiedBy>Оксана В. Дуева</cp:lastModifiedBy>
  <dcterms:created xsi:type="dcterms:W3CDTF">2025-02-18T08:25:51Z</dcterms:created>
  <dcterms:modified xsi:type="dcterms:W3CDTF">2025-04-14T08:36:37Z</dcterms:modified>
</cp:coreProperties>
</file>